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4.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drawings/drawing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Ex1.xml" ContentType="application/vnd.ms-office.chartex+xml"/>
  <Override PartName="/xl/charts/style29.xml" ContentType="application/vnd.ms-office.chartstyle+xml"/>
  <Override PartName="/xl/charts/colors29.xml" ContentType="application/vnd.ms-office.chartcolorstyle+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charts/chart35.xml" ContentType="application/vnd.openxmlformats-officedocument.drawingml.chart+xml"/>
  <Override PartName="/xl/charts/style36.xml" ContentType="application/vnd.ms-office.chartstyle+xml"/>
  <Override PartName="/xl/charts/colors36.xml" ContentType="application/vnd.ms-office.chartcolorstyle+xml"/>
  <Override PartName="/xl/charts/chart36.xml" ContentType="application/vnd.openxmlformats-officedocument.drawingml.chart+xml"/>
  <Override PartName="/xl/charts/style37.xml" ContentType="application/vnd.ms-office.chartstyle+xml"/>
  <Override PartName="/xl/charts/colors37.xml" ContentType="application/vnd.ms-office.chartcolorstyle+xml"/>
  <Override PartName="/xl/charts/chart37.xml" ContentType="application/vnd.openxmlformats-officedocument.drawingml.chart+xml"/>
  <Override PartName="/xl/charts/style38.xml" ContentType="application/vnd.ms-office.chartstyle+xml"/>
  <Override PartName="/xl/charts/colors38.xml" ContentType="application/vnd.ms-office.chartcolorstyle+xml"/>
  <Override PartName="/xl/charts/chart38.xml" ContentType="application/vnd.openxmlformats-officedocument.drawingml.chart+xml"/>
  <Override PartName="/xl/charts/style39.xml" ContentType="application/vnd.ms-office.chartstyle+xml"/>
  <Override PartName="/xl/charts/colors39.xml" ContentType="application/vnd.ms-office.chartcolorstyle+xml"/>
  <Override PartName="/xl/charts/chart39.xml" ContentType="application/vnd.openxmlformats-officedocument.drawingml.chart+xml"/>
  <Override PartName="/xl/charts/style40.xml" ContentType="application/vnd.ms-office.chartstyle+xml"/>
  <Override PartName="/xl/charts/colors40.xml" ContentType="application/vnd.ms-office.chartcolorstyle+xml"/>
  <Override PartName="/xl/charts/chart40.xml" ContentType="application/vnd.openxmlformats-officedocument.drawingml.chart+xml"/>
  <Override PartName="/xl/charts/style41.xml" ContentType="application/vnd.ms-office.chartstyle+xml"/>
  <Override PartName="/xl/charts/colors41.xml" ContentType="application/vnd.ms-office.chartcolorstyle+xml"/>
  <Override PartName="/xl/charts/chart41.xml" ContentType="application/vnd.openxmlformats-officedocument.drawingml.chart+xml"/>
  <Override PartName="/xl/charts/style42.xml" ContentType="application/vnd.ms-office.chartstyle+xml"/>
  <Override PartName="/xl/charts/colors42.xml" ContentType="application/vnd.ms-office.chartcolorstyle+xml"/>
  <Override PartName="/xl/charts/chart42.xml" ContentType="application/vnd.openxmlformats-officedocument.drawingml.chart+xml"/>
  <Override PartName="/xl/charts/style43.xml" ContentType="application/vnd.ms-office.chartstyle+xml"/>
  <Override PartName="/xl/charts/colors43.xml" ContentType="application/vnd.ms-office.chartcolorstyle+xml"/>
  <Override PartName="/xl/charts/chart43.xml" ContentType="application/vnd.openxmlformats-officedocument.drawingml.chart+xml"/>
  <Override PartName="/xl/charts/style44.xml" ContentType="application/vnd.ms-office.chartstyle+xml"/>
  <Override PartName="/xl/charts/colors44.xml" ContentType="application/vnd.ms-office.chartcolorstyle+xml"/>
  <Override PartName="/xl/charts/chart44.xml" ContentType="application/vnd.openxmlformats-officedocument.drawingml.chart+xml"/>
  <Override PartName="/xl/charts/style45.xml" ContentType="application/vnd.ms-office.chartstyle+xml"/>
  <Override PartName="/xl/charts/colors45.xml" ContentType="application/vnd.ms-office.chartcolorstyle+xml"/>
  <Override PartName="/xl/charts/chart45.xml" ContentType="application/vnd.openxmlformats-officedocument.drawingml.chart+xml"/>
  <Override PartName="/xl/charts/style46.xml" ContentType="application/vnd.ms-office.chartstyle+xml"/>
  <Override PartName="/xl/charts/colors46.xml" ContentType="application/vnd.ms-office.chartcolorstyle+xml"/>
  <Override PartName="/xl/charts/chart46.xml" ContentType="application/vnd.openxmlformats-officedocument.drawingml.chart+xml"/>
  <Override PartName="/xl/charts/style47.xml" ContentType="application/vnd.ms-office.chartstyle+xml"/>
  <Override PartName="/xl/charts/colors47.xml" ContentType="application/vnd.ms-office.chartcolorstyle+xml"/>
  <Override PartName="/xl/charts/chart47.xml" ContentType="application/vnd.openxmlformats-officedocument.drawingml.chart+xml"/>
  <Override PartName="/xl/charts/style48.xml" ContentType="application/vnd.ms-office.chartstyle+xml"/>
  <Override PartName="/xl/charts/colors48.xml" ContentType="application/vnd.ms-office.chartcolorstyle+xml"/>
  <Override PartName="/xl/charts/chart48.xml" ContentType="application/vnd.openxmlformats-officedocument.drawingml.chart+xml"/>
  <Override PartName="/xl/charts/style49.xml" ContentType="application/vnd.ms-office.chartstyle+xml"/>
  <Override PartName="/xl/charts/colors49.xml" ContentType="application/vnd.ms-office.chartcolorstyle+xml"/>
  <Override PartName="/xl/theme/themeOverride5.xml" ContentType="application/vnd.openxmlformats-officedocument.themeOverride+xml"/>
  <Override PartName="/xl/charts/chart49.xml" ContentType="application/vnd.openxmlformats-officedocument.drawingml.chart+xml"/>
  <Override PartName="/xl/charts/style50.xml" ContentType="application/vnd.ms-office.chartstyle+xml"/>
  <Override PartName="/xl/charts/colors50.xml" ContentType="application/vnd.ms-office.chartcolorstyle+xml"/>
  <Override PartName="/xl/theme/themeOverride6.xml" ContentType="application/vnd.openxmlformats-officedocument.themeOverride+xml"/>
  <Override PartName="/xl/charts/chart50.xml" ContentType="application/vnd.openxmlformats-officedocument.drawingml.chart+xml"/>
  <Override PartName="/xl/charts/style51.xml" ContentType="application/vnd.ms-office.chartstyle+xml"/>
  <Override PartName="/xl/charts/colors51.xml" ContentType="application/vnd.ms-office.chartcolorstyle+xml"/>
  <Override PartName="/xl/theme/themeOverride7.xml" ContentType="application/vnd.openxmlformats-officedocument.themeOverride+xml"/>
  <Override PartName="/xl/charts/chart51.xml" ContentType="application/vnd.openxmlformats-officedocument.drawingml.chart+xml"/>
  <Override PartName="/xl/charts/style52.xml" ContentType="application/vnd.ms-office.chartstyle+xml"/>
  <Override PartName="/xl/charts/colors52.xml" ContentType="application/vnd.ms-office.chartcolorstyle+xml"/>
  <Override PartName="/xl/charts/chart52.xml" ContentType="application/vnd.openxmlformats-officedocument.drawingml.chart+xml"/>
  <Override PartName="/xl/charts/style53.xml" ContentType="application/vnd.ms-office.chartstyle+xml"/>
  <Override PartName="/xl/charts/colors53.xml" ContentType="application/vnd.ms-office.chartcolorstyle+xml"/>
  <Override PartName="/xl/charts/chart53.xml" ContentType="application/vnd.openxmlformats-officedocument.drawingml.chart+xml"/>
  <Override PartName="/xl/charts/style54.xml" ContentType="application/vnd.ms-office.chartstyle+xml"/>
  <Override PartName="/xl/charts/colors54.xml" ContentType="application/vnd.ms-office.chartcolorstyle+xml"/>
  <Override PartName="/xl/charts/chart54.xml" ContentType="application/vnd.openxmlformats-officedocument.drawingml.chart+xml"/>
  <Override PartName="/xl/charts/style55.xml" ContentType="application/vnd.ms-office.chartstyle+xml"/>
  <Override PartName="/xl/charts/colors55.xml" ContentType="application/vnd.ms-office.chartcolorstyle+xml"/>
  <Override PartName="/xl/charts/chart55.xml" ContentType="application/vnd.openxmlformats-officedocument.drawingml.chart+xml"/>
  <Override PartName="/xl/charts/style56.xml" ContentType="application/vnd.ms-office.chartstyle+xml"/>
  <Override PartName="/xl/charts/colors56.xml" ContentType="application/vnd.ms-office.chartcolorstyle+xml"/>
  <Override PartName="/xl/charts/chart56.xml" ContentType="application/vnd.openxmlformats-officedocument.drawingml.chart+xml"/>
  <Override PartName="/xl/charts/style57.xml" ContentType="application/vnd.ms-office.chartstyle+xml"/>
  <Override PartName="/xl/charts/colors57.xml" ContentType="application/vnd.ms-office.chartcolorstyle+xml"/>
  <Override PartName="/xl/charts/chart57.xml" ContentType="application/vnd.openxmlformats-officedocument.drawingml.chart+xml"/>
  <Override PartName="/xl/charts/style58.xml" ContentType="application/vnd.ms-office.chartstyle+xml"/>
  <Override PartName="/xl/charts/colors58.xml" ContentType="application/vnd.ms-office.chartcolorstyle+xml"/>
  <Override PartName="/xl/charts/chart58.xml" ContentType="application/vnd.openxmlformats-officedocument.drawingml.chart+xml"/>
  <Override PartName="/xl/charts/style59.xml" ContentType="application/vnd.ms-office.chartstyle+xml"/>
  <Override PartName="/xl/charts/colors59.xml" ContentType="application/vnd.ms-office.chartcolorstyle+xml"/>
  <Override PartName="/xl/charts/chart59.xml" ContentType="application/vnd.openxmlformats-officedocument.drawingml.chart+xml"/>
  <Override PartName="/xl/charts/style60.xml" ContentType="application/vnd.ms-office.chartstyle+xml"/>
  <Override PartName="/xl/charts/colors60.xml" ContentType="application/vnd.ms-office.chartcolorstyle+xml"/>
  <Override PartName="/xl/charts/chart60.xml" ContentType="application/vnd.openxmlformats-officedocument.drawingml.chart+xml"/>
  <Override PartName="/xl/charts/style61.xml" ContentType="application/vnd.ms-office.chartstyle+xml"/>
  <Override PartName="/xl/charts/colors61.xml" ContentType="application/vnd.ms-office.chartcolorstyle+xml"/>
  <Override PartName="/xl/charts/chart61.xml" ContentType="application/vnd.openxmlformats-officedocument.drawingml.chart+xml"/>
  <Override PartName="/xl/charts/style62.xml" ContentType="application/vnd.ms-office.chartstyle+xml"/>
  <Override PartName="/xl/charts/colors62.xml" ContentType="application/vnd.ms-office.chartcolorstyle+xml"/>
  <Override PartName="/xl/charts/chart62.xml" ContentType="application/vnd.openxmlformats-officedocument.drawingml.chart+xml"/>
  <Override PartName="/xl/charts/style63.xml" ContentType="application/vnd.ms-office.chartstyle+xml"/>
  <Override PartName="/xl/charts/colors63.xml" ContentType="application/vnd.ms-office.chartcolorstyle+xml"/>
  <Override PartName="/xl/charts/chart63.xml" ContentType="application/vnd.openxmlformats-officedocument.drawingml.chart+xml"/>
  <Override PartName="/xl/charts/style64.xml" ContentType="application/vnd.ms-office.chartstyle+xml"/>
  <Override PartName="/xl/charts/colors64.xml" ContentType="application/vnd.ms-office.chartcolorstyle+xml"/>
  <Override PartName="/xl/charts/chart64.xml" ContentType="application/vnd.openxmlformats-officedocument.drawingml.chart+xml"/>
  <Override PartName="/xl/charts/style65.xml" ContentType="application/vnd.ms-office.chartstyle+xml"/>
  <Override PartName="/xl/charts/colors65.xml" ContentType="application/vnd.ms-office.chartcolorstyle+xml"/>
  <Override PartName="/xl/charts/chart65.xml" ContentType="application/vnd.openxmlformats-officedocument.drawingml.chart+xml"/>
  <Override PartName="/xl/charts/style66.xml" ContentType="application/vnd.ms-office.chartstyle+xml"/>
  <Override PartName="/xl/charts/colors66.xml" ContentType="application/vnd.ms-office.chartcolorstyle+xml"/>
  <Override PartName="/xl/charts/chart66.xml" ContentType="application/vnd.openxmlformats-officedocument.drawingml.chart+xml"/>
  <Override PartName="/xl/charts/style67.xml" ContentType="application/vnd.ms-office.chartstyle+xml"/>
  <Override PartName="/xl/charts/colors67.xml" ContentType="application/vnd.ms-office.chartcolorstyle+xml"/>
  <Override PartName="/xl/tables/table1.xml" ContentType="application/vnd.openxmlformats-officedocument.spreadsheetml.table+xml"/>
  <Override PartName="/xl/pivotTables/pivotTable52.xml" ContentType="application/vnd.openxmlformats-officedocument.spreadsheetml.pivotTable+xml"/>
  <Override PartName="/xl/drawings/drawing6.xml" ContentType="application/vnd.openxmlformats-officedocument.drawing+xml"/>
  <Override PartName="/xl/charts/chart67.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7.xml" ContentType="application/vnd.openxmlformats-officedocument.drawing+xml"/>
  <Override PartName="/xl/tables/table2.xml" ContentType="application/vnd.openxmlformats-officedocument.spreadsheetml.table+xml"/>
  <Override PartName="/xl/charts/chart68.xml" ContentType="application/vnd.openxmlformats-officedocument.drawingml.chart+xml"/>
  <Override PartName="/xl/charts/style69.xml" ContentType="application/vnd.ms-office.chartstyle+xml"/>
  <Override PartName="/xl/charts/colors6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hidePivotFieldList="1" defaultThemeVersion="166925"/>
  <mc:AlternateContent xmlns:mc="http://schemas.openxmlformats.org/markup-compatibility/2006">
    <mc:Choice Requires="x15">
      <x15ac:absPath xmlns:x15ac="http://schemas.microsoft.com/office/spreadsheetml/2010/11/ac" url="C:\Users\user\Documents\Aine\final\"/>
    </mc:Choice>
  </mc:AlternateContent>
  <xr:revisionPtr revIDLastSave="0" documentId="13_ncr:1_{653ADCBE-77EE-4DE9-BDD9-9EAFE22F8F90}" xr6:coauthVersionLast="40" xr6:coauthVersionMax="40" xr10:uidLastSave="{00000000-0000-0000-0000-000000000000}"/>
  <workbookProtection workbookPassword="929A" lockStructure="1"/>
  <bookViews>
    <workbookView xWindow="0" yWindow="0" windowWidth="19200" windowHeight="7425" xr2:uid="{00000000-000D-0000-FFFF-FFFF00000000}"/>
  </bookViews>
  <sheets>
    <sheet name="Index" sheetId="15" r:id="rId1"/>
    <sheet name="Sales Analysis" sheetId="12" r:id="rId2"/>
    <sheet name="Profit Analysis" sheetId="14" r:id="rId3"/>
    <sheet name="Conclusions" sheetId="22" r:id="rId4"/>
    <sheet name="Pivot-Analysis" sheetId="8" state="hidden" r:id="rId5"/>
    <sheet name="Mini Project Data - Sales &amp; Pro" sheetId="1" state="hidden" r:id="rId6"/>
    <sheet name="Sheet2" sheetId="13" state="hidden" r:id="rId7"/>
    <sheet name="Sheet1" sheetId="11" state="hidden" r:id="rId8"/>
    <sheet name="Steps" sheetId="3" state="hidden" r:id="rId9"/>
    <sheet name="Market" sheetId="4" state="hidden" r:id="rId10"/>
    <sheet name="Clean V1" sheetId="5" state="hidden" r:id="rId11"/>
  </sheets>
  <definedNames>
    <definedName name="_xlnm._FilterDatabase" localSheetId="5" hidden="1">'Mini Project Data - Sales &amp; Pro'!$L$3:$L$703</definedName>
    <definedName name="_xlchart.v5.0" hidden="1">'Pivot-Analysis'!$E$72</definedName>
    <definedName name="_xlchart.v5.1" hidden="1">'Pivot-Analysis'!$E$73:$E$77</definedName>
    <definedName name="_xlchart.v5.2" hidden="1">'Pivot-Analysis'!$F$72</definedName>
    <definedName name="_xlchart.v5.3" hidden="1">'Pivot-Analysis'!$F$73:$F$77</definedName>
    <definedName name="_xlcn.WorksheetConnection_PivotAnalysisA160H1641" hidden="1">'Pivot-Analysis'!$A$174:$H$178</definedName>
    <definedName name="Slicer_Country">#N/A</definedName>
    <definedName name="Slicer_Market">#N/A</definedName>
    <definedName name="Slicer_Product">#N/A</definedName>
    <definedName name="Slicer_Segment">#N/A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Pivot-Analysis!$A$160:$H$164"/>
        </x15:modelTables>
      </x15:dataModel>
    </ext>
  </extLst>
</workbook>
</file>

<file path=xl/calcChain.xml><?xml version="1.0" encoding="utf-8"?>
<calcChain xmlns="http://schemas.openxmlformats.org/spreadsheetml/2006/main">
  <c r="K703" i="11" l="1"/>
  <c r="K702" i="11"/>
  <c r="K701" i="11"/>
  <c r="K700" i="11"/>
  <c r="K699" i="11"/>
  <c r="K698" i="11"/>
  <c r="K697" i="11"/>
  <c r="K696" i="11"/>
  <c r="K695" i="11"/>
  <c r="K694" i="11"/>
  <c r="K693" i="11"/>
  <c r="K692" i="11"/>
  <c r="K691" i="11"/>
  <c r="K690" i="11"/>
  <c r="K689" i="11"/>
  <c r="K688" i="11"/>
  <c r="K687" i="11"/>
  <c r="K686" i="11"/>
  <c r="K685" i="11"/>
  <c r="K684" i="11"/>
  <c r="K683" i="11"/>
  <c r="K682" i="11"/>
  <c r="K681" i="11"/>
  <c r="K680" i="11"/>
  <c r="K679" i="11"/>
  <c r="K678" i="11"/>
  <c r="K677" i="11"/>
  <c r="K676" i="11"/>
  <c r="K675" i="11"/>
  <c r="K674" i="11"/>
  <c r="K673" i="11"/>
  <c r="K672" i="11"/>
  <c r="K671" i="11"/>
  <c r="K670" i="11"/>
  <c r="K669" i="11"/>
  <c r="K668" i="11"/>
  <c r="K667" i="11"/>
  <c r="K666" i="11"/>
  <c r="K665" i="11"/>
  <c r="K664" i="11"/>
  <c r="K663" i="11"/>
  <c r="K662" i="11"/>
  <c r="K661" i="11"/>
  <c r="K660" i="11"/>
  <c r="K659" i="11"/>
  <c r="K658" i="11"/>
  <c r="K657" i="11"/>
  <c r="K656" i="11"/>
  <c r="K655" i="11"/>
  <c r="K654" i="11"/>
  <c r="K653" i="11"/>
  <c r="K652" i="11"/>
  <c r="K651" i="11"/>
  <c r="K650" i="11"/>
  <c r="K649" i="11"/>
  <c r="K648" i="11"/>
  <c r="K647" i="11"/>
  <c r="K646" i="11"/>
  <c r="K645" i="11"/>
  <c r="K644" i="11"/>
  <c r="K643" i="11"/>
  <c r="K642" i="11"/>
  <c r="K641" i="11"/>
  <c r="K640" i="11"/>
  <c r="K639" i="11"/>
  <c r="K638" i="11"/>
  <c r="K637" i="11"/>
  <c r="K636" i="11"/>
  <c r="K635" i="11"/>
  <c r="K634" i="11"/>
  <c r="K633" i="11"/>
  <c r="K632" i="11"/>
  <c r="K631" i="11"/>
  <c r="K630" i="11"/>
  <c r="K629" i="11"/>
  <c r="K628" i="11"/>
  <c r="K627" i="11"/>
  <c r="K626" i="11"/>
  <c r="K625" i="11"/>
  <c r="K624" i="11"/>
  <c r="K623" i="11"/>
  <c r="K622" i="11"/>
  <c r="K621" i="11"/>
  <c r="K620" i="11"/>
  <c r="K619" i="11"/>
  <c r="K618" i="11"/>
  <c r="K617" i="11"/>
  <c r="K616" i="11"/>
  <c r="K615" i="11"/>
  <c r="K614" i="11"/>
  <c r="K613" i="11"/>
  <c r="K612" i="11"/>
  <c r="K611" i="11"/>
  <c r="K610" i="11"/>
  <c r="K609" i="11"/>
  <c r="K608" i="11"/>
  <c r="K607" i="11"/>
  <c r="K606" i="11"/>
  <c r="K605" i="11"/>
  <c r="K604" i="11"/>
  <c r="K603" i="11"/>
  <c r="K602" i="11"/>
  <c r="K601" i="11"/>
  <c r="K600" i="11"/>
  <c r="K599" i="11"/>
  <c r="K598" i="11"/>
  <c r="K597" i="11"/>
  <c r="K596" i="11"/>
  <c r="K595" i="11"/>
  <c r="K594" i="11"/>
  <c r="K593" i="11"/>
  <c r="K592" i="11"/>
  <c r="K591" i="11"/>
  <c r="K590" i="11"/>
  <c r="K589" i="11"/>
  <c r="K588" i="11"/>
  <c r="K587" i="11"/>
  <c r="K586" i="11"/>
  <c r="K585" i="11"/>
  <c r="K584" i="11"/>
  <c r="K583" i="11"/>
  <c r="K582" i="11"/>
  <c r="K581" i="11"/>
  <c r="K580" i="11"/>
  <c r="K579" i="11"/>
  <c r="K578" i="11"/>
  <c r="K577" i="11"/>
  <c r="K576" i="11"/>
  <c r="K575" i="11"/>
  <c r="K574" i="11"/>
  <c r="K573" i="11"/>
  <c r="K572" i="11"/>
  <c r="K571" i="11"/>
  <c r="K570" i="11"/>
  <c r="K569" i="11"/>
  <c r="K568" i="11"/>
  <c r="K567" i="11"/>
  <c r="K566" i="11"/>
  <c r="K565" i="11"/>
  <c r="K564" i="11"/>
  <c r="K563" i="11"/>
  <c r="K562" i="11"/>
  <c r="K561" i="11"/>
  <c r="K560" i="11"/>
  <c r="K559" i="11"/>
  <c r="K558" i="11"/>
  <c r="K557" i="11"/>
  <c r="K556" i="11"/>
  <c r="K555" i="11"/>
  <c r="K554" i="11"/>
  <c r="K553" i="11"/>
  <c r="K552" i="11"/>
  <c r="K551" i="11"/>
  <c r="K550" i="11"/>
  <c r="K549" i="11"/>
  <c r="K548" i="11"/>
  <c r="K547" i="11"/>
  <c r="K546" i="11"/>
  <c r="K545" i="11"/>
  <c r="K544" i="11"/>
  <c r="K543" i="11"/>
  <c r="K542" i="11"/>
  <c r="K541" i="11"/>
  <c r="K540" i="11"/>
  <c r="K539" i="11"/>
  <c r="K538" i="11"/>
  <c r="K537" i="11"/>
  <c r="K536" i="11"/>
  <c r="K535" i="11"/>
  <c r="K534" i="11"/>
  <c r="K533" i="11"/>
  <c r="K532" i="11"/>
  <c r="K531" i="11"/>
  <c r="K530" i="11"/>
  <c r="K529" i="11"/>
  <c r="K528" i="11"/>
  <c r="K527" i="11"/>
  <c r="K526" i="11"/>
  <c r="K525" i="11"/>
  <c r="K524" i="11"/>
  <c r="K523" i="11"/>
  <c r="K522" i="11"/>
  <c r="K521" i="11"/>
  <c r="K520" i="11"/>
  <c r="K519" i="11"/>
  <c r="K518" i="11"/>
  <c r="K517" i="11"/>
  <c r="K516" i="11"/>
  <c r="K515" i="11"/>
  <c r="K514" i="11"/>
  <c r="K513" i="11"/>
  <c r="K512" i="11"/>
  <c r="K511" i="11"/>
  <c r="K510" i="11"/>
  <c r="K509" i="11"/>
  <c r="K508" i="11"/>
  <c r="K507" i="11"/>
  <c r="K506" i="11"/>
  <c r="K505" i="11"/>
  <c r="K504" i="11"/>
  <c r="K503" i="11"/>
  <c r="K502" i="11"/>
  <c r="K501" i="11"/>
  <c r="K500" i="11"/>
  <c r="K499" i="11"/>
  <c r="K498" i="11"/>
  <c r="K497" i="11"/>
  <c r="K496" i="11"/>
  <c r="K495" i="11"/>
  <c r="K494" i="11"/>
  <c r="K493" i="11"/>
  <c r="K492" i="11"/>
  <c r="K491" i="11"/>
  <c r="K490" i="11"/>
  <c r="K489" i="11"/>
  <c r="K488" i="11"/>
  <c r="K487" i="11"/>
  <c r="K486" i="11"/>
  <c r="K485" i="11"/>
  <c r="K484" i="11"/>
  <c r="K483" i="11"/>
  <c r="K482" i="11"/>
  <c r="K481" i="11"/>
  <c r="K480" i="11"/>
  <c r="K479" i="11"/>
  <c r="K478" i="11"/>
  <c r="K477" i="11"/>
  <c r="K476" i="11"/>
  <c r="K475" i="11"/>
  <c r="K474" i="11"/>
  <c r="K473" i="11"/>
  <c r="K472" i="11"/>
  <c r="K471" i="11"/>
  <c r="K470" i="11"/>
  <c r="K469" i="11"/>
  <c r="K468" i="11"/>
  <c r="K467" i="11"/>
  <c r="K466" i="11"/>
  <c r="K465" i="11"/>
  <c r="K464" i="11"/>
  <c r="K463" i="11"/>
  <c r="K462" i="11"/>
  <c r="K461" i="11"/>
  <c r="K460" i="11"/>
  <c r="K459" i="11"/>
  <c r="K458" i="11"/>
  <c r="K457" i="11"/>
  <c r="K456" i="11"/>
  <c r="K455" i="11"/>
  <c r="K454" i="11"/>
  <c r="K453" i="11"/>
  <c r="K452" i="11"/>
  <c r="K451" i="11"/>
  <c r="K450" i="11"/>
  <c r="K449" i="11"/>
  <c r="K448" i="11"/>
  <c r="K447" i="11"/>
  <c r="K446" i="11"/>
  <c r="K445" i="11"/>
  <c r="K444" i="11"/>
  <c r="K443" i="11"/>
  <c r="K442" i="11"/>
  <c r="K441" i="11"/>
  <c r="K440" i="11"/>
  <c r="K439" i="11"/>
  <c r="K438" i="11"/>
  <c r="K437" i="11"/>
  <c r="K436" i="11"/>
  <c r="K435" i="11"/>
  <c r="K434" i="11"/>
  <c r="K433" i="11"/>
  <c r="K432" i="11"/>
  <c r="K431" i="11"/>
  <c r="K430" i="11"/>
  <c r="K429" i="11"/>
  <c r="K428" i="11"/>
  <c r="K427" i="11"/>
  <c r="K426" i="11"/>
  <c r="K425" i="11"/>
  <c r="K424" i="11"/>
  <c r="K423" i="11"/>
  <c r="K422" i="11"/>
  <c r="K421" i="11"/>
  <c r="K420" i="11"/>
  <c r="K419" i="11"/>
  <c r="K418" i="11"/>
  <c r="K417" i="11"/>
  <c r="K416" i="11"/>
  <c r="K415" i="11"/>
  <c r="K414" i="11"/>
  <c r="K413" i="11"/>
  <c r="K412" i="11"/>
  <c r="K411" i="11"/>
  <c r="K410" i="11"/>
  <c r="K409" i="11"/>
  <c r="K408" i="11"/>
  <c r="K407" i="11"/>
  <c r="K406" i="11"/>
  <c r="K405" i="11"/>
  <c r="K404" i="11"/>
  <c r="K403" i="11"/>
  <c r="K402" i="11"/>
  <c r="K401" i="11"/>
  <c r="K400" i="11"/>
  <c r="K399" i="11"/>
  <c r="K398" i="11"/>
  <c r="K397" i="11"/>
  <c r="K396" i="11"/>
  <c r="K395" i="11"/>
  <c r="K394" i="11"/>
  <c r="K393" i="11"/>
  <c r="K392" i="11"/>
  <c r="K391" i="11"/>
  <c r="K390" i="11"/>
  <c r="K389" i="11"/>
  <c r="K388" i="11"/>
  <c r="K387" i="11"/>
  <c r="K386" i="11"/>
  <c r="K385" i="11"/>
  <c r="K384" i="11"/>
  <c r="K383" i="11"/>
  <c r="K382" i="11"/>
  <c r="K381" i="11"/>
  <c r="K380" i="11"/>
  <c r="K379" i="11"/>
  <c r="K378" i="11"/>
  <c r="K377" i="11"/>
  <c r="K376" i="11"/>
  <c r="K375" i="11"/>
  <c r="K374" i="11"/>
  <c r="K373" i="11"/>
  <c r="K372" i="11"/>
  <c r="K371" i="11"/>
  <c r="K370" i="11"/>
  <c r="K369" i="11"/>
  <c r="K368" i="11"/>
  <c r="K367" i="11"/>
  <c r="K366" i="11"/>
  <c r="K365" i="11"/>
  <c r="K364" i="11"/>
  <c r="K363" i="11"/>
  <c r="K362" i="11"/>
  <c r="K361" i="11"/>
  <c r="K360" i="11"/>
  <c r="K359" i="11"/>
  <c r="K358" i="11"/>
  <c r="K357" i="11"/>
  <c r="K356" i="11"/>
  <c r="K355" i="11"/>
  <c r="K354" i="11"/>
  <c r="K353" i="11"/>
  <c r="K352" i="11"/>
  <c r="K351" i="11"/>
  <c r="K350" i="11"/>
  <c r="K349" i="11"/>
  <c r="K348" i="11"/>
  <c r="K347" i="11"/>
  <c r="K346" i="11"/>
  <c r="K345" i="11"/>
  <c r="K344" i="11"/>
  <c r="K343" i="11"/>
  <c r="K342" i="11"/>
  <c r="K341" i="11"/>
  <c r="K340" i="11"/>
  <c r="K339" i="11"/>
  <c r="K338" i="11"/>
  <c r="K337" i="11"/>
  <c r="K336" i="11"/>
  <c r="K335" i="11"/>
  <c r="K334" i="11"/>
  <c r="K333" i="11"/>
  <c r="K332" i="11"/>
  <c r="K331" i="11"/>
  <c r="K330" i="11"/>
  <c r="K329" i="11"/>
  <c r="K328" i="11"/>
  <c r="K327" i="11"/>
  <c r="K326" i="11"/>
  <c r="K325" i="11"/>
  <c r="K324" i="11"/>
  <c r="K323" i="11"/>
  <c r="K322" i="11"/>
  <c r="K321" i="11"/>
  <c r="K320" i="11"/>
  <c r="K319" i="11"/>
  <c r="K318" i="11"/>
  <c r="K317" i="11"/>
  <c r="K316" i="11"/>
  <c r="K315" i="11"/>
  <c r="K314" i="11"/>
  <c r="K313" i="11"/>
  <c r="K312" i="11"/>
  <c r="K311" i="11"/>
  <c r="K310" i="11"/>
  <c r="K309" i="11"/>
  <c r="K308" i="11"/>
  <c r="K307" i="11"/>
  <c r="K306" i="11"/>
  <c r="K305" i="11"/>
  <c r="K304" i="11"/>
  <c r="K303" i="11"/>
  <c r="K302" i="11"/>
  <c r="K301" i="11"/>
  <c r="K300" i="11"/>
  <c r="K299" i="11"/>
  <c r="K298" i="11"/>
  <c r="K297" i="11"/>
  <c r="K296" i="11"/>
  <c r="K295" i="11"/>
  <c r="K294" i="11"/>
  <c r="K293" i="11"/>
  <c r="K292" i="11"/>
  <c r="K291" i="11"/>
  <c r="K290" i="11"/>
  <c r="K289" i="11"/>
  <c r="K288" i="11"/>
  <c r="K287" i="11"/>
  <c r="K286" i="11"/>
  <c r="K285" i="11"/>
  <c r="K284" i="11"/>
  <c r="K283" i="11"/>
  <c r="K282" i="11"/>
  <c r="K281" i="11"/>
  <c r="K280" i="11"/>
  <c r="K279" i="11"/>
  <c r="K278" i="11"/>
  <c r="K277" i="11"/>
  <c r="K276" i="11"/>
  <c r="K275" i="11"/>
  <c r="K274" i="11"/>
  <c r="K273" i="11"/>
  <c r="K272" i="11"/>
  <c r="K271" i="11"/>
  <c r="K270" i="11"/>
  <c r="K269" i="11"/>
  <c r="K268" i="11"/>
  <c r="K267" i="11"/>
  <c r="K266" i="11"/>
  <c r="K265" i="11"/>
  <c r="K264" i="11"/>
  <c r="K263" i="11"/>
  <c r="K262" i="11"/>
  <c r="K261" i="11"/>
  <c r="K260" i="11"/>
  <c r="K259" i="11"/>
  <c r="K258" i="11"/>
  <c r="K257" i="11"/>
  <c r="K256" i="11"/>
  <c r="K255" i="11"/>
  <c r="K254" i="11"/>
  <c r="K253" i="11"/>
  <c r="K252" i="11"/>
  <c r="K251" i="11"/>
  <c r="K250" i="11"/>
  <c r="K249" i="11"/>
  <c r="K248" i="11"/>
  <c r="K247" i="11"/>
  <c r="K246" i="11"/>
  <c r="K245" i="11"/>
  <c r="K244" i="11"/>
  <c r="K243" i="11"/>
  <c r="K242" i="11"/>
  <c r="K241" i="11"/>
  <c r="K240" i="11"/>
  <c r="K239" i="11"/>
  <c r="K238" i="11"/>
  <c r="K237" i="11"/>
  <c r="K236" i="11"/>
  <c r="K235" i="11"/>
  <c r="K234" i="11"/>
  <c r="K233" i="11"/>
  <c r="K232" i="11"/>
  <c r="K231" i="11"/>
  <c r="K230" i="11"/>
  <c r="K229" i="11"/>
  <c r="K228" i="11"/>
  <c r="K227" i="11"/>
  <c r="K226" i="11"/>
  <c r="K225" i="11"/>
  <c r="K224" i="11"/>
  <c r="K223" i="11"/>
  <c r="K222" i="11"/>
  <c r="K221" i="11"/>
  <c r="K220" i="11"/>
  <c r="K219" i="11"/>
  <c r="K218" i="11"/>
  <c r="K217" i="11"/>
  <c r="K216" i="11"/>
  <c r="K215" i="11"/>
  <c r="K214" i="11"/>
  <c r="K213" i="11"/>
  <c r="K212" i="11"/>
  <c r="K211" i="11"/>
  <c r="K210" i="11"/>
  <c r="K209" i="11"/>
  <c r="K208" i="11"/>
  <c r="K207" i="11"/>
  <c r="K206" i="11"/>
  <c r="K205" i="11"/>
  <c r="K204" i="11"/>
  <c r="K203" i="11"/>
  <c r="K202" i="11"/>
  <c r="K201" i="11"/>
  <c r="K200" i="11"/>
  <c r="K199" i="11"/>
  <c r="K198" i="11"/>
  <c r="K197" i="11"/>
  <c r="K196" i="11"/>
  <c r="K195" i="11"/>
  <c r="K194" i="11"/>
  <c r="K193" i="11"/>
  <c r="K192" i="11"/>
  <c r="K191" i="11"/>
  <c r="K190" i="11"/>
  <c r="K189" i="11"/>
  <c r="K188" i="11"/>
  <c r="K187" i="11"/>
  <c r="K186" i="11"/>
  <c r="K185" i="11"/>
  <c r="K184" i="11"/>
  <c r="K183" i="11"/>
  <c r="K182" i="11"/>
  <c r="K181" i="11"/>
  <c r="K180" i="11"/>
  <c r="K179" i="11"/>
  <c r="K178" i="11"/>
  <c r="K177" i="11"/>
  <c r="K176" i="11"/>
  <c r="K175" i="11"/>
  <c r="K174" i="11"/>
  <c r="K173" i="11"/>
  <c r="K172" i="11"/>
  <c r="K171" i="11"/>
  <c r="K170" i="11"/>
  <c r="K169" i="11"/>
  <c r="K168" i="11"/>
  <c r="K167" i="11"/>
  <c r="K166" i="11"/>
  <c r="K165" i="11"/>
  <c r="K164" i="11"/>
  <c r="K163" i="11"/>
  <c r="K162" i="11"/>
  <c r="K161"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9" i="11"/>
  <c r="K8" i="11"/>
  <c r="K7" i="11"/>
  <c r="K6" i="11"/>
  <c r="K5" i="11"/>
  <c r="K4" i="11"/>
  <c r="Q703" i="1"/>
  <c r="R703" i="1" s="1"/>
  <c r="S703" i="1" s="1"/>
  <c r="P703" i="1"/>
  <c r="N703" i="1"/>
  <c r="O703" i="1" s="1"/>
  <c r="E703" i="1"/>
  <c r="R702" i="1"/>
  <c r="S702" i="1" s="1"/>
  <c r="Q702" i="1"/>
  <c r="N702" i="1"/>
  <c r="O702" i="1" s="1"/>
  <c r="E702" i="1"/>
  <c r="Q701" i="1"/>
  <c r="R701" i="1" s="1"/>
  <c r="S701" i="1" s="1"/>
  <c r="P701" i="1"/>
  <c r="O701" i="1"/>
  <c r="N701" i="1"/>
  <c r="E701" i="1"/>
  <c r="Q700" i="1"/>
  <c r="R700" i="1" s="1"/>
  <c r="S700" i="1" s="1"/>
  <c r="N700" i="1"/>
  <c r="P700" i="1" s="1"/>
  <c r="E700" i="1"/>
  <c r="Q699" i="1"/>
  <c r="R699" i="1" s="1"/>
  <c r="S699" i="1" s="1"/>
  <c r="N699" i="1"/>
  <c r="P699" i="1" s="1"/>
  <c r="E699" i="1"/>
  <c r="Q698" i="1"/>
  <c r="R698" i="1" s="1"/>
  <c r="S698" i="1" s="1"/>
  <c r="N698" i="1"/>
  <c r="E698" i="1"/>
  <c r="Q697" i="1"/>
  <c r="R697" i="1" s="1"/>
  <c r="S697" i="1" s="1"/>
  <c r="N697" i="1"/>
  <c r="P697" i="1" s="1"/>
  <c r="E697" i="1"/>
  <c r="Q696" i="1"/>
  <c r="R696" i="1" s="1"/>
  <c r="S696" i="1" s="1"/>
  <c r="N696" i="1"/>
  <c r="P696" i="1" s="1"/>
  <c r="E696" i="1"/>
  <c r="Q695" i="1"/>
  <c r="R695" i="1" s="1"/>
  <c r="S695" i="1" s="1"/>
  <c r="N695" i="1"/>
  <c r="P695" i="1" s="1"/>
  <c r="E695" i="1"/>
  <c r="Q694" i="1"/>
  <c r="R694" i="1" s="1"/>
  <c r="S694" i="1" s="1"/>
  <c r="N694" i="1"/>
  <c r="E694" i="1"/>
  <c r="Q693" i="1"/>
  <c r="R693" i="1" s="1"/>
  <c r="S693" i="1" s="1"/>
  <c r="N693" i="1"/>
  <c r="P693" i="1" s="1"/>
  <c r="E693" i="1"/>
  <c r="Q692" i="1"/>
  <c r="R692" i="1" s="1"/>
  <c r="S692" i="1" s="1"/>
  <c r="N692" i="1"/>
  <c r="P692" i="1" s="1"/>
  <c r="E692" i="1"/>
  <c r="Q691" i="1"/>
  <c r="R691" i="1" s="1"/>
  <c r="S691" i="1" s="1"/>
  <c r="O691" i="1"/>
  <c r="N691" i="1"/>
  <c r="P691" i="1" s="1"/>
  <c r="E691" i="1"/>
  <c r="Q690" i="1"/>
  <c r="R690" i="1" s="1"/>
  <c r="S690" i="1" s="1"/>
  <c r="P690" i="1"/>
  <c r="N690" i="1"/>
  <c r="O690" i="1" s="1"/>
  <c r="E690" i="1"/>
  <c r="Q689" i="1"/>
  <c r="R689" i="1" s="1"/>
  <c r="S689" i="1" s="1"/>
  <c r="P689" i="1"/>
  <c r="N689" i="1"/>
  <c r="O689" i="1" s="1"/>
  <c r="E689" i="1"/>
  <c r="R688" i="1"/>
  <c r="S688" i="1" s="1"/>
  <c r="Q688" i="1"/>
  <c r="N688" i="1"/>
  <c r="P688" i="1" s="1"/>
  <c r="E688" i="1"/>
  <c r="Q687" i="1"/>
  <c r="R687" i="1" s="1"/>
  <c r="S687" i="1" s="1"/>
  <c r="N687" i="1"/>
  <c r="P687" i="1" s="1"/>
  <c r="E687" i="1"/>
  <c r="R686" i="1"/>
  <c r="S686" i="1" s="1"/>
  <c r="Q686" i="1"/>
  <c r="N686" i="1"/>
  <c r="E686" i="1"/>
  <c r="Q685" i="1"/>
  <c r="R685" i="1" s="1"/>
  <c r="S685" i="1" s="1"/>
  <c r="N685" i="1"/>
  <c r="P685" i="1" s="1"/>
  <c r="E685" i="1"/>
  <c r="Q684" i="1"/>
  <c r="R684" i="1" s="1"/>
  <c r="S684" i="1" s="1"/>
  <c r="N684" i="1"/>
  <c r="P684" i="1" s="1"/>
  <c r="E684" i="1"/>
  <c r="Q683" i="1"/>
  <c r="R683" i="1" s="1"/>
  <c r="S683" i="1" s="1"/>
  <c r="O683" i="1"/>
  <c r="N683" i="1"/>
  <c r="P683" i="1" s="1"/>
  <c r="E683" i="1"/>
  <c r="Q682" i="1"/>
  <c r="R682" i="1" s="1"/>
  <c r="S682" i="1" s="1"/>
  <c r="P682" i="1"/>
  <c r="N682" i="1"/>
  <c r="O682" i="1" s="1"/>
  <c r="E682" i="1"/>
  <c r="Q681" i="1"/>
  <c r="R681" i="1" s="1"/>
  <c r="S681" i="1" s="1"/>
  <c r="P681" i="1"/>
  <c r="N681" i="1"/>
  <c r="O681" i="1" s="1"/>
  <c r="E681" i="1"/>
  <c r="R680" i="1"/>
  <c r="S680" i="1" s="1"/>
  <c r="Q680" i="1"/>
  <c r="N680" i="1"/>
  <c r="P680" i="1" s="1"/>
  <c r="E680" i="1"/>
  <c r="Q679" i="1"/>
  <c r="R679" i="1" s="1"/>
  <c r="S679" i="1" s="1"/>
  <c r="N679" i="1"/>
  <c r="P679" i="1" s="1"/>
  <c r="E679" i="1"/>
  <c r="R678" i="1"/>
  <c r="S678" i="1" s="1"/>
  <c r="Q678" i="1"/>
  <c r="N678" i="1"/>
  <c r="E678" i="1"/>
  <c r="Q677" i="1"/>
  <c r="R677" i="1" s="1"/>
  <c r="S677" i="1" s="1"/>
  <c r="N677" i="1"/>
  <c r="P677" i="1" s="1"/>
  <c r="E677" i="1"/>
  <c r="Q676" i="1"/>
  <c r="R676" i="1" s="1"/>
  <c r="S676" i="1" s="1"/>
  <c r="N676" i="1"/>
  <c r="P676" i="1" s="1"/>
  <c r="E676" i="1"/>
  <c r="Q675" i="1"/>
  <c r="R675" i="1" s="1"/>
  <c r="S675" i="1" s="1"/>
  <c r="O675" i="1"/>
  <c r="N675" i="1"/>
  <c r="P675" i="1" s="1"/>
  <c r="E675" i="1"/>
  <c r="Q674" i="1"/>
  <c r="R674" i="1" s="1"/>
  <c r="S674" i="1" s="1"/>
  <c r="P674" i="1"/>
  <c r="N674" i="1"/>
  <c r="O674" i="1" s="1"/>
  <c r="E674" i="1"/>
  <c r="Q673" i="1"/>
  <c r="R673" i="1" s="1"/>
  <c r="S673" i="1" s="1"/>
  <c r="P673" i="1"/>
  <c r="N673" i="1"/>
  <c r="O673" i="1" s="1"/>
  <c r="E673" i="1"/>
  <c r="R672" i="1"/>
  <c r="S672" i="1" s="1"/>
  <c r="Q672" i="1"/>
  <c r="N672" i="1"/>
  <c r="P672" i="1" s="1"/>
  <c r="E672" i="1"/>
  <c r="Q671" i="1"/>
  <c r="R671" i="1" s="1"/>
  <c r="S671" i="1" s="1"/>
  <c r="N671" i="1"/>
  <c r="P671" i="1" s="1"/>
  <c r="E671" i="1"/>
  <c r="R670" i="1"/>
  <c r="S670" i="1" s="1"/>
  <c r="Q670" i="1"/>
  <c r="N670" i="1"/>
  <c r="E670" i="1"/>
  <c r="Q669" i="1"/>
  <c r="R669" i="1" s="1"/>
  <c r="S669" i="1" s="1"/>
  <c r="N669" i="1"/>
  <c r="P669" i="1" s="1"/>
  <c r="E669" i="1"/>
  <c r="Q668" i="1"/>
  <c r="R668" i="1" s="1"/>
  <c r="S668" i="1" s="1"/>
  <c r="N668" i="1"/>
  <c r="P668" i="1" s="1"/>
  <c r="E668" i="1"/>
  <c r="Q667" i="1"/>
  <c r="R667" i="1" s="1"/>
  <c r="S667" i="1" s="1"/>
  <c r="N667" i="1"/>
  <c r="P667" i="1" s="1"/>
  <c r="E667" i="1"/>
  <c r="Q666" i="1"/>
  <c r="R666" i="1" s="1"/>
  <c r="S666" i="1" s="1"/>
  <c r="N666" i="1"/>
  <c r="E666" i="1"/>
  <c r="Q665" i="1"/>
  <c r="R665" i="1" s="1"/>
  <c r="S665" i="1" s="1"/>
  <c r="N665" i="1"/>
  <c r="E665" i="1"/>
  <c r="Q664" i="1"/>
  <c r="R664" i="1" s="1"/>
  <c r="S664" i="1" s="1"/>
  <c r="N664" i="1"/>
  <c r="P664" i="1" s="1"/>
  <c r="E664" i="1"/>
  <c r="Q663" i="1"/>
  <c r="R663" i="1" s="1"/>
  <c r="S663" i="1" s="1"/>
  <c r="N663" i="1"/>
  <c r="P663" i="1" s="1"/>
  <c r="E663" i="1"/>
  <c r="Q662" i="1"/>
  <c r="R662" i="1" s="1"/>
  <c r="S662" i="1" s="1"/>
  <c r="N662" i="1"/>
  <c r="E662" i="1"/>
  <c r="Q661" i="1"/>
  <c r="R661" i="1" s="1"/>
  <c r="S661" i="1" s="1"/>
  <c r="N661" i="1"/>
  <c r="P661" i="1" s="1"/>
  <c r="E661" i="1"/>
  <c r="Q660" i="1"/>
  <c r="R660" i="1" s="1"/>
  <c r="S660" i="1" s="1"/>
  <c r="N660" i="1"/>
  <c r="P660" i="1" s="1"/>
  <c r="E660" i="1"/>
  <c r="Q659" i="1"/>
  <c r="R659" i="1" s="1"/>
  <c r="S659" i="1" s="1"/>
  <c r="N659" i="1"/>
  <c r="E659" i="1"/>
  <c r="Q658" i="1"/>
  <c r="R658" i="1" s="1"/>
  <c r="S658" i="1" s="1"/>
  <c r="N658" i="1"/>
  <c r="E658" i="1"/>
  <c r="Q657" i="1"/>
  <c r="R657" i="1" s="1"/>
  <c r="S657" i="1" s="1"/>
  <c r="O657" i="1"/>
  <c r="N657" i="1"/>
  <c r="P657" i="1" s="1"/>
  <c r="E657" i="1"/>
  <c r="Q656" i="1"/>
  <c r="R656" i="1" s="1"/>
  <c r="S656" i="1" s="1"/>
  <c r="N656" i="1"/>
  <c r="P656" i="1" s="1"/>
  <c r="E656" i="1"/>
  <c r="Q655" i="1"/>
  <c r="R655" i="1" s="1"/>
  <c r="S655" i="1" s="1"/>
  <c r="N655" i="1"/>
  <c r="P655" i="1" s="1"/>
  <c r="E655" i="1"/>
  <c r="Q654" i="1"/>
  <c r="R654" i="1" s="1"/>
  <c r="S654" i="1" s="1"/>
  <c r="N654" i="1"/>
  <c r="E654" i="1"/>
  <c r="Q653" i="1"/>
  <c r="R653" i="1" s="1"/>
  <c r="S653" i="1" s="1"/>
  <c r="N653" i="1"/>
  <c r="P653" i="1" s="1"/>
  <c r="E653" i="1"/>
  <c r="Q652" i="1"/>
  <c r="R652" i="1" s="1"/>
  <c r="S652" i="1" s="1"/>
  <c r="N652" i="1"/>
  <c r="P652" i="1" s="1"/>
  <c r="E652" i="1"/>
  <c r="Q651" i="1"/>
  <c r="R651" i="1" s="1"/>
  <c r="S651" i="1" s="1"/>
  <c r="N651" i="1"/>
  <c r="E651" i="1"/>
  <c r="Q650" i="1"/>
  <c r="R650" i="1" s="1"/>
  <c r="S650" i="1" s="1"/>
  <c r="N650" i="1"/>
  <c r="E650" i="1"/>
  <c r="Q649" i="1"/>
  <c r="R649" i="1" s="1"/>
  <c r="S649" i="1" s="1"/>
  <c r="N649" i="1"/>
  <c r="P649" i="1" s="1"/>
  <c r="E649" i="1"/>
  <c r="Q648" i="1"/>
  <c r="R648" i="1" s="1"/>
  <c r="S648" i="1" s="1"/>
  <c r="N648" i="1"/>
  <c r="P648" i="1" s="1"/>
  <c r="E648" i="1"/>
  <c r="Q647" i="1"/>
  <c r="R647" i="1" s="1"/>
  <c r="S647" i="1" s="1"/>
  <c r="N647" i="1"/>
  <c r="P647" i="1" s="1"/>
  <c r="E647" i="1"/>
  <c r="Q646" i="1"/>
  <c r="R646" i="1" s="1"/>
  <c r="S646" i="1" s="1"/>
  <c r="N646" i="1"/>
  <c r="E646" i="1"/>
  <c r="Q645" i="1"/>
  <c r="R645" i="1" s="1"/>
  <c r="S645" i="1" s="1"/>
  <c r="O645" i="1"/>
  <c r="N645" i="1"/>
  <c r="P645" i="1" s="1"/>
  <c r="E645" i="1"/>
  <c r="Q644" i="1"/>
  <c r="R644" i="1" s="1"/>
  <c r="S644" i="1" s="1"/>
  <c r="N644" i="1"/>
  <c r="P644" i="1" s="1"/>
  <c r="E644" i="1"/>
  <c r="Q643" i="1"/>
  <c r="R643" i="1" s="1"/>
  <c r="S643" i="1" s="1"/>
  <c r="N643" i="1"/>
  <c r="E643" i="1"/>
  <c r="Q642" i="1"/>
  <c r="R642" i="1" s="1"/>
  <c r="S642" i="1" s="1"/>
  <c r="N642" i="1"/>
  <c r="E642" i="1"/>
  <c r="Q641" i="1"/>
  <c r="R641" i="1" s="1"/>
  <c r="S641" i="1" s="1"/>
  <c r="N641" i="1"/>
  <c r="P641" i="1" s="1"/>
  <c r="E641" i="1"/>
  <c r="Q640" i="1"/>
  <c r="R640" i="1" s="1"/>
  <c r="S640" i="1" s="1"/>
  <c r="N640" i="1"/>
  <c r="P640" i="1" s="1"/>
  <c r="E640" i="1"/>
  <c r="Q639" i="1"/>
  <c r="R639" i="1" s="1"/>
  <c r="S639" i="1" s="1"/>
  <c r="O639" i="1"/>
  <c r="N639" i="1"/>
  <c r="P639" i="1" s="1"/>
  <c r="E639" i="1"/>
  <c r="Q638" i="1"/>
  <c r="R638" i="1" s="1"/>
  <c r="S638" i="1" s="1"/>
  <c r="N638" i="1"/>
  <c r="E638" i="1"/>
  <c r="Q637" i="1"/>
  <c r="R637" i="1" s="1"/>
  <c r="S637" i="1" s="1"/>
  <c r="O637" i="1"/>
  <c r="N637" i="1"/>
  <c r="P637" i="1" s="1"/>
  <c r="E637" i="1"/>
  <c r="Q636" i="1"/>
  <c r="R636" i="1" s="1"/>
  <c r="S636" i="1" s="1"/>
  <c r="N636" i="1"/>
  <c r="P636" i="1" s="1"/>
  <c r="E636" i="1"/>
  <c r="Q635" i="1"/>
  <c r="R635" i="1" s="1"/>
  <c r="S635" i="1" s="1"/>
  <c r="N635" i="1"/>
  <c r="E635" i="1"/>
  <c r="Q634" i="1"/>
  <c r="R634" i="1" s="1"/>
  <c r="S634" i="1" s="1"/>
  <c r="N634" i="1"/>
  <c r="E634" i="1"/>
  <c r="Q633" i="1"/>
  <c r="R633" i="1" s="1"/>
  <c r="S633" i="1" s="1"/>
  <c r="O633" i="1"/>
  <c r="N633" i="1"/>
  <c r="P633" i="1" s="1"/>
  <c r="E633" i="1"/>
  <c r="Q632" i="1"/>
  <c r="R632" i="1" s="1"/>
  <c r="S632" i="1" s="1"/>
  <c r="N632" i="1"/>
  <c r="P632" i="1" s="1"/>
  <c r="E632" i="1"/>
  <c r="Q631" i="1"/>
  <c r="R631" i="1" s="1"/>
  <c r="S631" i="1" s="1"/>
  <c r="O631" i="1"/>
  <c r="N631" i="1"/>
  <c r="P631" i="1" s="1"/>
  <c r="E631" i="1"/>
  <c r="Q630" i="1"/>
  <c r="R630" i="1" s="1"/>
  <c r="S630" i="1" s="1"/>
  <c r="N630" i="1"/>
  <c r="E630" i="1"/>
  <c r="Q629" i="1"/>
  <c r="R629" i="1" s="1"/>
  <c r="S629" i="1" s="1"/>
  <c r="N629" i="1"/>
  <c r="P629" i="1" s="1"/>
  <c r="E629" i="1"/>
  <c r="Q628" i="1"/>
  <c r="R628" i="1" s="1"/>
  <c r="S628" i="1" s="1"/>
  <c r="N628" i="1"/>
  <c r="P628" i="1" s="1"/>
  <c r="E628" i="1"/>
  <c r="Q627" i="1"/>
  <c r="R627" i="1" s="1"/>
  <c r="S627" i="1" s="1"/>
  <c r="N627" i="1"/>
  <c r="E627" i="1"/>
  <c r="Q626" i="1"/>
  <c r="R626" i="1" s="1"/>
  <c r="S626" i="1" s="1"/>
  <c r="N626" i="1"/>
  <c r="E626" i="1"/>
  <c r="Q625" i="1"/>
  <c r="R625" i="1" s="1"/>
  <c r="S625" i="1" s="1"/>
  <c r="O625" i="1"/>
  <c r="N625" i="1"/>
  <c r="P625" i="1" s="1"/>
  <c r="E625" i="1"/>
  <c r="Q624" i="1"/>
  <c r="R624" i="1" s="1"/>
  <c r="S624" i="1" s="1"/>
  <c r="N624" i="1"/>
  <c r="O624" i="1" s="1"/>
  <c r="E624" i="1"/>
  <c r="Q623" i="1"/>
  <c r="R623" i="1" s="1"/>
  <c r="S623" i="1" s="1"/>
  <c r="N623" i="1"/>
  <c r="E623" i="1"/>
  <c r="Q622" i="1"/>
  <c r="R622" i="1" s="1"/>
  <c r="S622" i="1" s="1"/>
  <c r="N622" i="1"/>
  <c r="O622" i="1" s="1"/>
  <c r="E622" i="1"/>
  <c r="Q621" i="1"/>
  <c r="R621" i="1" s="1"/>
  <c r="S621" i="1" s="1"/>
  <c r="P621" i="1"/>
  <c r="O621" i="1"/>
  <c r="N621" i="1"/>
  <c r="E621" i="1"/>
  <c r="S620" i="1"/>
  <c r="R620" i="1"/>
  <c r="Q620" i="1"/>
  <c r="N620" i="1"/>
  <c r="E620" i="1"/>
  <c r="R619" i="1"/>
  <c r="S619" i="1" s="1"/>
  <c r="Q619" i="1"/>
  <c r="O619" i="1"/>
  <c r="N619" i="1"/>
  <c r="P619" i="1" s="1"/>
  <c r="E619" i="1"/>
  <c r="Q618" i="1"/>
  <c r="R618" i="1" s="1"/>
  <c r="S618" i="1" s="1"/>
  <c r="N618" i="1"/>
  <c r="O618" i="1" s="1"/>
  <c r="E618" i="1"/>
  <c r="Q617" i="1"/>
  <c r="R617" i="1" s="1"/>
  <c r="S617" i="1" s="1"/>
  <c r="N617" i="1"/>
  <c r="E617" i="1"/>
  <c r="Q616" i="1"/>
  <c r="R616" i="1" s="1"/>
  <c r="S616" i="1" s="1"/>
  <c r="N616" i="1"/>
  <c r="E616" i="1"/>
  <c r="Q615" i="1"/>
  <c r="R615" i="1" s="1"/>
  <c r="S615" i="1" s="1"/>
  <c r="N615" i="1"/>
  <c r="E615" i="1"/>
  <c r="R614" i="1"/>
  <c r="S614" i="1" s="1"/>
  <c r="Q614" i="1"/>
  <c r="N614" i="1"/>
  <c r="P614" i="1" s="1"/>
  <c r="E614" i="1"/>
  <c r="Q613" i="1"/>
  <c r="R613" i="1" s="1"/>
  <c r="S613" i="1" s="1"/>
  <c r="O613" i="1"/>
  <c r="N613" i="1"/>
  <c r="P613" i="1" s="1"/>
  <c r="E613" i="1"/>
  <c r="Q612" i="1"/>
  <c r="R612" i="1" s="1"/>
  <c r="S612" i="1" s="1"/>
  <c r="N612" i="1"/>
  <c r="E612" i="1"/>
  <c r="Q611" i="1"/>
  <c r="R611" i="1" s="1"/>
  <c r="S611" i="1" s="1"/>
  <c r="N611" i="1"/>
  <c r="E611" i="1"/>
  <c r="R610" i="1"/>
  <c r="S610" i="1" s="1"/>
  <c r="Q610" i="1"/>
  <c r="N610" i="1"/>
  <c r="P610" i="1" s="1"/>
  <c r="E610" i="1"/>
  <c r="Q609" i="1"/>
  <c r="R609" i="1" s="1"/>
  <c r="S609" i="1" s="1"/>
  <c r="N609" i="1"/>
  <c r="E609" i="1"/>
  <c r="Q608" i="1"/>
  <c r="R608" i="1" s="1"/>
  <c r="S608" i="1" s="1"/>
  <c r="N608" i="1"/>
  <c r="E608" i="1"/>
  <c r="Q607" i="1"/>
  <c r="R607" i="1" s="1"/>
  <c r="S607" i="1" s="1"/>
  <c r="N607" i="1"/>
  <c r="E607" i="1"/>
  <c r="R606" i="1"/>
  <c r="S606" i="1" s="1"/>
  <c r="Q606" i="1"/>
  <c r="N606" i="1"/>
  <c r="P606" i="1" s="1"/>
  <c r="E606" i="1"/>
  <c r="Q605" i="1"/>
  <c r="R605" i="1" s="1"/>
  <c r="S605" i="1" s="1"/>
  <c r="N605" i="1"/>
  <c r="P605" i="1" s="1"/>
  <c r="E605" i="1"/>
  <c r="Q604" i="1"/>
  <c r="R604" i="1" s="1"/>
  <c r="S604" i="1" s="1"/>
  <c r="N604" i="1"/>
  <c r="E604" i="1"/>
  <c r="Q603" i="1"/>
  <c r="R603" i="1" s="1"/>
  <c r="S603" i="1" s="1"/>
  <c r="N603" i="1"/>
  <c r="E603" i="1"/>
  <c r="R602" i="1"/>
  <c r="S602" i="1" s="1"/>
  <c r="Q602" i="1"/>
  <c r="N602" i="1"/>
  <c r="P602" i="1" s="1"/>
  <c r="E602" i="1"/>
  <c r="Q601" i="1"/>
  <c r="R601" i="1" s="1"/>
  <c r="S601" i="1" s="1"/>
  <c r="N601" i="1"/>
  <c r="E601" i="1"/>
  <c r="Q600" i="1"/>
  <c r="R600" i="1" s="1"/>
  <c r="S600" i="1" s="1"/>
  <c r="N600" i="1"/>
  <c r="E600" i="1"/>
  <c r="Q599" i="1"/>
  <c r="R599" i="1" s="1"/>
  <c r="S599" i="1" s="1"/>
  <c r="N599" i="1"/>
  <c r="E599" i="1"/>
  <c r="Q598" i="1"/>
  <c r="R598" i="1" s="1"/>
  <c r="S598" i="1" s="1"/>
  <c r="N598" i="1"/>
  <c r="P598" i="1" s="1"/>
  <c r="E598" i="1"/>
  <c r="Q597" i="1"/>
  <c r="R597" i="1" s="1"/>
  <c r="S597" i="1" s="1"/>
  <c r="N597" i="1"/>
  <c r="E597" i="1"/>
  <c r="R596" i="1"/>
  <c r="S596" i="1" s="1"/>
  <c r="Q596" i="1"/>
  <c r="N596" i="1"/>
  <c r="E596" i="1"/>
  <c r="Q595" i="1"/>
  <c r="R595" i="1" s="1"/>
  <c r="S595" i="1" s="1"/>
  <c r="N595" i="1"/>
  <c r="E595" i="1"/>
  <c r="R594" i="1"/>
  <c r="S594" i="1" s="1"/>
  <c r="Q594" i="1"/>
  <c r="N594" i="1"/>
  <c r="P594" i="1" s="1"/>
  <c r="E594" i="1"/>
  <c r="Q593" i="1"/>
  <c r="R593" i="1" s="1"/>
  <c r="S593" i="1" s="1"/>
  <c r="O593" i="1"/>
  <c r="N593" i="1"/>
  <c r="P593" i="1" s="1"/>
  <c r="E593" i="1"/>
  <c r="Q592" i="1"/>
  <c r="R592" i="1" s="1"/>
  <c r="S592" i="1" s="1"/>
  <c r="P592" i="1"/>
  <c r="N592" i="1"/>
  <c r="O592" i="1" s="1"/>
  <c r="E592" i="1"/>
  <c r="Q591" i="1"/>
  <c r="R591" i="1" s="1"/>
  <c r="S591" i="1" s="1"/>
  <c r="O591" i="1"/>
  <c r="N591" i="1"/>
  <c r="P591" i="1" s="1"/>
  <c r="E591" i="1"/>
  <c r="Q590" i="1"/>
  <c r="R590" i="1" s="1"/>
  <c r="S590" i="1" s="1"/>
  <c r="N590" i="1"/>
  <c r="P590" i="1" s="1"/>
  <c r="E590" i="1"/>
  <c r="Q589" i="1"/>
  <c r="R589" i="1" s="1"/>
  <c r="S589" i="1" s="1"/>
  <c r="P589" i="1"/>
  <c r="O589" i="1"/>
  <c r="N589" i="1"/>
  <c r="E589" i="1"/>
  <c r="R588" i="1"/>
  <c r="S588" i="1" s="1"/>
  <c r="Q588" i="1"/>
  <c r="N588" i="1"/>
  <c r="E588" i="1"/>
  <c r="Q587" i="1"/>
  <c r="R587" i="1" s="1"/>
  <c r="S587" i="1" s="1"/>
  <c r="N587" i="1"/>
  <c r="E587" i="1"/>
  <c r="R586" i="1"/>
  <c r="S586" i="1" s="1"/>
  <c r="Q586" i="1"/>
  <c r="N586" i="1"/>
  <c r="P586" i="1" s="1"/>
  <c r="E586" i="1"/>
  <c r="Q585" i="1"/>
  <c r="R585" i="1" s="1"/>
  <c r="S585" i="1" s="1"/>
  <c r="O585" i="1"/>
  <c r="N585" i="1"/>
  <c r="P585" i="1" s="1"/>
  <c r="E585" i="1"/>
  <c r="Q584" i="1"/>
  <c r="R584" i="1" s="1"/>
  <c r="S584" i="1" s="1"/>
  <c r="P584" i="1"/>
  <c r="N584" i="1"/>
  <c r="O584" i="1" s="1"/>
  <c r="E584" i="1"/>
  <c r="Q583" i="1"/>
  <c r="R583" i="1" s="1"/>
  <c r="S583" i="1" s="1"/>
  <c r="O583" i="1"/>
  <c r="N583" i="1"/>
  <c r="P583" i="1" s="1"/>
  <c r="E583" i="1"/>
  <c r="Q582" i="1"/>
  <c r="R582" i="1" s="1"/>
  <c r="S582" i="1" s="1"/>
  <c r="N582" i="1"/>
  <c r="P582" i="1" s="1"/>
  <c r="E582" i="1"/>
  <c r="Q581" i="1"/>
  <c r="R581" i="1" s="1"/>
  <c r="S581" i="1" s="1"/>
  <c r="P581" i="1"/>
  <c r="O581" i="1"/>
  <c r="N581" i="1"/>
  <c r="E581" i="1"/>
  <c r="R580" i="1"/>
  <c r="S580" i="1" s="1"/>
  <c r="Q580" i="1"/>
  <c r="N580" i="1"/>
  <c r="E580" i="1"/>
  <c r="Q579" i="1"/>
  <c r="R579" i="1" s="1"/>
  <c r="S579" i="1" s="1"/>
  <c r="N579" i="1"/>
  <c r="E579" i="1"/>
  <c r="Q578" i="1"/>
  <c r="R578" i="1" s="1"/>
  <c r="S578" i="1" s="1"/>
  <c r="N578" i="1"/>
  <c r="P578" i="1" s="1"/>
  <c r="E578" i="1"/>
  <c r="Q577" i="1"/>
  <c r="R577" i="1" s="1"/>
  <c r="S577" i="1" s="1"/>
  <c r="O577" i="1"/>
  <c r="N577" i="1"/>
  <c r="P577" i="1" s="1"/>
  <c r="E577" i="1"/>
  <c r="Q576" i="1"/>
  <c r="R576" i="1" s="1"/>
  <c r="S576" i="1" s="1"/>
  <c r="P576" i="1"/>
  <c r="N576" i="1"/>
  <c r="O576" i="1" s="1"/>
  <c r="E576" i="1"/>
  <c r="Q575" i="1"/>
  <c r="R575" i="1" s="1"/>
  <c r="S575" i="1" s="1"/>
  <c r="O575" i="1"/>
  <c r="N575" i="1"/>
  <c r="P575" i="1" s="1"/>
  <c r="E575" i="1"/>
  <c r="Q574" i="1"/>
  <c r="R574" i="1" s="1"/>
  <c r="S574" i="1" s="1"/>
  <c r="N574" i="1"/>
  <c r="P574" i="1" s="1"/>
  <c r="E574" i="1"/>
  <c r="Q573" i="1"/>
  <c r="R573" i="1" s="1"/>
  <c r="S573" i="1" s="1"/>
  <c r="N573" i="1"/>
  <c r="P573" i="1" s="1"/>
  <c r="E573" i="1"/>
  <c r="Q572" i="1"/>
  <c r="R572" i="1" s="1"/>
  <c r="S572" i="1" s="1"/>
  <c r="N572" i="1"/>
  <c r="E572" i="1"/>
  <c r="Q571" i="1"/>
  <c r="R571" i="1" s="1"/>
  <c r="S571" i="1" s="1"/>
  <c r="N571" i="1"/>
  <c r="E571" i="1"/>
  <c r="R570" i="1"/>
  <c r="S570" i="1" s="1"/>
  <c r="Q570" i="1"/>
  <c r="N570" i="1"/>
  <c r="P570" i="1" s="1"/>
  <c r="E570" i="1"/>
  <c r="Q569" i="1"/>
  <c r="R569" i="1" s="1"/>
  <c r="S569" i="1" s="1"/>
  <c r="N569" i="1"/>
  <c r="E569" i="1"/>
  <c r="Q568" i="1"/>
  <c r="R568" i="1" s="1"/>
  <c r="S568" i="1" s="1"/>
  <c r="N568" i="1"/>
  <c r="E568" i="1"/>
  <c r="Q567" i="1"/>
  <c r="R567" i="1" s="1"/>
  <c r="S567" i="1" s="1"/>
  <c r="N567" i="1"/>
  <c r="E567" i="1"/>
  <c r="Q566" i="1"/>
  <c r="R566" i="1" s="1"/>
  <c r="S566" i="1" s="1"/>
  <c r="N566" i="1"/>
  <c r="P566" i="1" s="1"/>
  <c r="E566" i="1"/>
  <c r="Q565" i="1"/>
  <c r="R565" i="1" s="1"/>
  <c r="S565" i="1" s="1"/>
  <c r="N565" i="1"/>
  <c r="E565" i="1"/>
  <c r="R564" i="1"/>
  <c r="S564" i="1" s="1"/>
  <c r="Q564" i="1"/>
  <c r="N564" i="1"/>
  <c r="E564" i="1"/>
  <c r="Q563" i="1"/>
  <c r="R563" i="1" s="1"/>
  <c r="S563" i="1" s="1"/>
  <c r="N563" i="1"/>
  <c r="E563" i="1"/>
  <c r="R562" i="1"/>
  <c r="S562" i="1" s="1"/>
  <c r="Q562" i="1"/>
  <c r="N562" i="1"/>
  <c r="P562" i="1" s="1"/>
  <c r="E562" i="1"/>
  <c r="Q561" i="1"/>
  <c r="R561" i="1" s="1"/>
  <c r="S561" i="1" s="1"/>
  <c r="O561" i="1"/>
  <c r="N561" i="1"/>
  <c r="P561" i="1" s="1"/>
  <c r="E561" i="1"/>
  <c r="Q560" i="1"/>
  <c r="R560" i="1" s="1"/>
  <c r="S560" i="1" s="1"/>
  <c r="P560" i="1"/>
  <c r="N560" i="1"/>
  <c r="O560" i="1" s="1"/>
  <c r="E560" i="1"/>
  <c r="Q559" i="1"/>
  <c r="R559" i="1" s="1"/>
  <c r="S559" i="1" s="1"/>
  <c r="O559" i="1"/>
  <c r="N559" i="1"/>
  <c r="P559" i="1" s="1"/>
  <c r="E559" i="1"/>
  <c r="Q558" i="1"/>
  <c r="R558" i="1" s="1"/>
  <c r="S558" i="1" s="1"/>
  <c r="N558" i="1"/>
  <c r="P558" i="1" s="1"/>
  <c r="E558" i="1"/>
  <c r="Q557" i="1"/>
  <c r="R557" i="1" s="1"/>
  <c r="S557" i="1" s="1"/>
  <c r="P557" i="1"/>
  <c r="O557" i="1"/>
  <c r="N557" i="1"/>
  <c r="E557" i="1"/>
  <c r="R556" i="1"/>
  <c r="S556" i="1" s="1"/>
  <c r="Q556" i="1"/>
  <c r="N556" i="1"/>
  <c r="E556" i="1"/>
  <c r="Q555" i="1"/>
  <c r="R555" i="1" s="1"/>
  <c r="S555" i="1" s="1"/>
  <c r="N555" i="1"/>
  <c r="E555" i="1"/>
  <c r="R554" i="1"/>
  <c r="S554" i="1" s="1"/>
  <c r="Q554" i="1"/>
  <c r="N554" i="1"/>
  <c r="P554" i="1" s="1"/>
  <c r="E554" i="1"/>
  <c r="Q553" i="1"/>
  <c r="R553" i="1" s="1"/>
  <c r="S553" i="1" s="1"/>
  <c r="O553" i="1"/>
  <c r="N553" i="1"/>
  <c r="P553" i="1" s="1"/>
  <c r="E553" i="1"/>
  <c r="Q552" i="1"/>
  <c r="R552" i="1" s="1"/>
  <c r="S552" i="1" s="1"/>
  <c r="P552" i="1"/>
  <c r="N552" i="1"/>
  <c r="O552" i="1" s="1"/>
  <c r="E552" i="1"/>
  <c r="Q551" i="1"/>
  <c r="R551" i="1" s="1"/>
  <c r="S551" i="1" s="1"/>
  <c r="O551" i="1"/>
  <c r="N551" i="1"/>
  <c r="P551" i="1" s="1"/>
  <c r="E551" i="1"/>
  <c r="Q550" i="1"/>
  <c r="R550" i="1" s="1"/>
  <c r="S550" i="1" s="1"/>
  <c r="N550" i="1"/>
  <c r="P550" i="1" s="1"/>
  <c r="E550" i="1"/>
  <c r="Q549" i="1"/>
  <c r="R549" i="1" s="1"/>
  <c r="S549" i="1" s="1"/>
  <c r="P549" i="1"/>
  <c r="O549" i="1"/>
  <c r="N549" i="1"/>
  <c r="E549" i="1"/>
  <c r="R548" i="1"/>
  <c r="S548" i="1" s="1"/>
  <c r="Q548" i="1"/>
  <c r="N548" i="1"/>
  <c r="E548" i="1"/>
  <c r="Q547" i="1"/>
  <c r="R547" i="1" s="1"/>
  <c r="S547" i="1" s="1"/>
  <c r="N547" i="1"/>
  <c r="E547" i="1"/>
  <c r="Q546" i="1"/>
  <c r="R546" i="1" s="1"/>
  <c r="S546" i="1" s="1"/>
  <c r="N546" i="1"/>
  <c r="P546" i="1" s="1"/>
  <c r="E546" i="1"/>
  <c r="Q545" i="1"/>
  <c r="R545" i="1" s="1"/>
  <c r="S545" i="1" s="1"/>
  <c r="O545" i="1"/>
  <c r="N545" i="1"/>
  <c r="P545" i="1" s="1"/>
  <c r="E545" i="1"/>
  <c r="Q544" i="1"/>
  <c r="R544" i="1" s="1"/>
  <c r="S544" i="1" s="1"/>
  <c r="P544" i="1"/>
  <c r="N544" i="1"/>
  <c r="O544" i="1" s="1"/>
  <c r="E544" i="1"/>
  <c r="Q543" i="1"/>
  <c r="R543" i="1" s="1"/>
  <c r="S543" i="1" s="1"/>
  <c r="O543" i="1"/>
  <c r="N543" i="1"/>
  <c r="P543" i="1" s="1"/>
  <c r="E543" i="1"/>
  <c r="Q542" i="1"/>
  <c r="R542" i="1" s="1"/>
  <c r="S542" i="1" s="1"/>
  <c r="N542" i="1"/>
  <c r="P542" i="1" s="1"/>
  <c r="E542" i="1"/>
  <c r="Q541" i="1"/>
  <c r="R541" i="1" s="1"/>
  <c r="S541" i="1" s="1"/>
  <c r="N541" i="1"/>
  <c r="P541" i="1" s="1"/>
  <c r="E541" i="1"/>
  <c r="Q540" i="1"/>
  <c r="R540" i="1" s="1"/>
  <c r="S540" i="1" s="1"/>
  <c r="N540" i="1"/>
  <c r="E540" i="1"/>
  <c r="Q539" i="1"/>
  <c r="R539" i="1" s="1"/>
  <c r="S539" i="1" s="1"/>
  <c r="N539" i="1"/>
  <c r="E539" i="1"/>
  <c r="R538" i="1"/>
  <c r="S538" i="1" s="1"/>
  <c r="Q538" i="1"/>
  <c r="N538" i="1"/>
  <c r="P538" i="1" s="1"/>
  <c r="E538" i="1"/>
  <c r="Q537" i="1"/>
  <c r="R537" i="1" s="1"/>
  <c r="S537" i="1" s="1"/>
  <c r="N537" i="1"/>
  <c r="E537" i="1"/>
  <c r="Q536" i="1"/>
  <c r="R536" i="1" s="1"/>
  <c r="S536" i="1" s="1"/>
  <c r="N536" i="1"/>
  <c r="O536" i="1" s="1"/>
  <c r="E536" i="1"/>
  <c r="Q535" i="1"/>
  <c r="R535" i="1" s="1"/>
  <c r="S535" i="1" s="1"/>
  <c r="N535" i="1"/>
  <c r="P535" i="1" s="1"/>
  <c r="E535" i="1"/>
  <c r="R534" i="1"/>
  <c r="S534" i="1" s="1"/>
  <c r="Q534" i="1"/>
  <c r="N534" i="1"/>
  <c r="P534" i="1" s="1"/>
  <c r="E534" i="1"/>
  <c r="Q533" i="1"/>
  <c r="R533" i="1" s="1"/>
  <c r="S533" i="1" s="1"/>
  <c r="N533" i="1"/>
  <c r="P533" i="1" s="1"/>
  <c r="E533" i="1"/>
  <c r="Q532" i="1"/>
  <c r="R532" i="1" s="1"/>
  <c r="S532" i="1" s="1"/>
  <c r="N532" i="1"/>
  <c r="O532" i="1" s="1"/>
  <c r="E532" i="1"/>
  <c r="Q531" i="1"/>
  <c r="R531" i="1" s="1"/>
  <c r="S531" i="1" s="1"/>
  <c r="N531" i="1"/>
  <c r="P531" i="1" s="1"/>
  <c r="E531" i="1"/>
  <c r="Q530" i="1"/>
  <c r="R530" i="1" s="1"/>
  <c r="S530" i="1" s="1"/>
  <c r="N530" i="1"/>
  <c r="P530" i="1" s="1"/>
  <c r="E530" i="1"/>
  <c r="Q529" i="1"/>
  <c r="R529" i="1" s="1"/>
  <c r="S529" i="1" s="1"/>
  <c r="P529" i="1"/>
  <c r="O529" i="1"/>
  <c r="N529" i="1"/>
  <c r="E529" i="1"/>
  <c r="Q528" i="1"/>
  <c r="R528" i="1" s="1"/>
  <c r="S528" i="1" s="1"/>
  <c r="N528" i="1"/>
  <c r="O528" i="1" s="1"/>
  <c r="E528" i="1"/>
  <c r="Q527" i="1"/>
  <c r="R527" i="1" s="1"/>
  <c r="S527" i="1" s="1"/>
  <c r="N527" i="1"/>
  <c r="P527" i="1" s="1"/>
  <c r="E527" i="1"/>
  <c r="Q526" i="1"/>
  <c r="R526" i="1" s="1"/>
  <c r="S526" i="1" s="1"/>
  <c r="N526" i="1"/>
  <c r="P526" i="1" s="1"/>
  <c r="E526" i="1"/>
  <c r="Q525" i="1"/>
  <c r="R525" i="1" s="1"/>
  <c r="S525" i="1" s="1"/>
  <c r="N525" i="1"/>
  <c r="P525" i="1" s="1"/>
  <c r="E525" i="1"/>
  <c r="Q524" i="1"/>
  <c r="R524" i="1" s="1"/>
  <c r="S524" i="1" s="1"/>
  <c r="N524" i="1"/>
  <c r="E524" i="1"/>
  <c r="Q523" i="1"/>
  <c r="R523" i="1" s="1"/>
  <c r="S523" i="1" s="1"/>
  <c r="N523" i="1"/>
  <c r="E523" i="1"/>
  <c r="R522" i="1"/>
  <c r="S522" i="1" s="1"/>
  <c r="Q522" i="1"/>
  <c r="N522" i="1"/>
  <c r="E522" i="1"/>
  <c r="Q521" i="1"/>
  <c r="R521" i="1" s="1"/>
  <c r="S521" i="1" s="1"/>
  <c r="N521" i="1"/>
  <c r="E521" i="1"/>
  <c r="R520" i="1"/>
  <c r="S520" i="1" s="1"/>
  <c r="Q520" i="1"/>
  <c r="N520" i="1"/>
  <c r="O520" i="1" s="1"/>
  <c r="E520" i="1"/>
  <c r="Q519" i="1"/>
  <c r="R519" i="1" s="1"/>
  <c r="S519" i="1" s="1"/>
  <c r="N519" i="1"/>
  <c r="P519" i="1" s="1"/>
  <c r="E519" i="1"/>
  <c r="Q518" i="1"/>
  <c r="R518" i="1" s="1"/>
  <c r="S518" i="1" s="1"/>
  <c r="N518" i="1"/>
  <c r="E518" i="1"/>
  <c r="Q517" i="1"/>
  <c r="R517" i="1" s="1"/>
  <c r="S517" i="1" s="1"/>
  <c r="N517" i="1"/>
  <c r="P517" i="1" s="1"/>
  <c r="E517" i="1"/>
  <c r="Q516" i="1"/>
  <c r="R516" i="1" s="1"/>
  <c r="S516" i="1" s="1"/>
  <c r="P516" i="1"/>
  <c r="N516" i="1"/>
  <c r="O516" i="1" s="1"/>
  <c r="E516" i="1"/>
  <c r="Q515" i="1"/>
  <c r="R515" i="1" s="1"/>
  <c r="S515" i="1" s="1"/>
  <c r="N515" i="1"/>
  <c r="P515" i="1" s="1"/>
  <c r="E515" i="1"/>
  <c r="R514" i="1"/>
  <c r="S514" i="1" s="1"/>
  <c r="Q514" i="1"/>
  <c r="N514" i="1"/>
  <c r="O514" i="1" s="1"/>
  <c r="E514" i="1"/>
  <c r="S513" i="1"/>
  <c r="Q513" i="1"/>
  <c r="R513" i="1" s="1"/>
  <c r="O513" i="1"/>
  <c r="N513" i="1"/>
  <c r="P513" i="1" s="1"/>
  <c r="E513" i="1"/>
  <c r="Q512" i="1"/>
  <c r="R512" i="1" s="1"/>
  <c r="S512" i="1" s="1"/>
  <c r="P512" i="1"/>
  <c r="N512" i="1"/>
  <c r="O512" i="1" s="1"/>
  <c r="E512" i="1"/>
  <c r="Q511" i="1"/>
  <c r="R511" i="1" s="1"/>
  <c r="S511" i="1" s="1"/>
  <c r="O511" i="1"/>
  <c r="N511" i="1"/>
  <c r="P511" i="1" s="1"/>
  <c r="E511" i="1"/>
  <c r="Q510" i="1"/>
  <c r="R510" i="1" s="1"/>
  <c r="S510" i="1" s="1"/>
  <c r="N510" i="1"/>
  <c r="O510" i="1" s="1"/>
  <c r="E510" i="1"/>
  <c r="Q509" i="1"/>
  <c r="R509" i="1" s="1"/>
  <c r="S509" i="1" s="1"/>
  <c r="N509" i="1"/>
  <c r="P509" i="1" s="1"/>
  <c r="E509" i="1"/>
  <c r="Q508" i="1"/>
  <c r="R508" i="1" s="1"/>
  <c r="S508" i="1" s="1"/>
  <c r="N508" i="1"/>
  <c r="P508" i="1" s="1"/>
  <c r="E508" i="1"/>
  <c r="Q507" i="1"/>
  <c r="R507" i="1" s="1"/>
  <c r="S507" i="1" s="1"/>
  <c r="N507" i="1"/>
  <c r="P507" i="1" s="1"/>
  <c r="E507" i="1"/>
  <c r="Q506" i="1"/>
  <c r="R506" i="1" s="1"/>
  <c r="S506" i="1" s="1"/>
  <c r="N506" i="1"/>
  <c r="O506" i="1" s="1"/>
  <c r="E506" i="1"/>
  <c r="Q505" i="1"/>
  <c r="R505" i="1" s="1"/>
  <c r="S505" i="1" s="1"/>
  <c r="N505" i="1"/>
  <c r="E505" i="1"/>
  <c r="R504" i="1"/>
  <c r="S504" i="1" s="1"/>
  <c r="Q504" i="1"/>
  <c r="N504" i="1"/>
  <c r="O504" i="1" s="1"/>
  <c r="E504" i="1"/>
  <c r="Q503" i="1"/>
  <c r="R503" i="1" s="1"/>
  <c r="S503" i="1" s="1"/>
  <c r="N503" i="1"/>
  <c r="P503" i="1" s="1"/>
  <c r="E503" i="1"/>
  <c r="Q502" i="1"/>
  <c r="R502" i="1" s="1"/>
  <c r="S502" i="1" s="1"/>
  <c r="N502" i="1"/>
  <c r="P502" i="1" s="1"/>
  <c r="E502" i="1"/>
  <c r="Q501" i="1"/>
  <c r="R501" i="1" s="1"/>
  <c r="S501" i="1" s="1"/>
  <c r="N501" i="1"/>
  <c r="P501" i="1" s="1"/>
  <c r="E501" i="1"/>
  <c r="Q500" i="1"/>
  <c r="R500" i="1" s="1"/>
  <c r="S500" i="1" s="1"/>
  <c r="N500" i="1"/>
  <c r="O500" i="1" s="1"/>
  <c r="E500" i="1"/>
  <c r="Q499" i="1"/>
  <c r="R499" i="1" s="1"/>
  <c r="S499" i="1" s="1"/>
  <c r="O499" i="1"/>
  <c r="N499" i="1"/>
  <c r="P499" i="1" s="1"/>
  <c r="E499" i="1"/>
  <c r="Q498" i="1"/>
  <c r="R498" i="1" s="1"/>
  <c r="S498" i="1" s="1"/>
  <c r="N498" i="1"/>
  <c r="P498" i="1" s="1"/>
  <c r="E498" i="1"/>
  <c r="Q497" i="1"/>
  <c r="R497" i="1" s="1"/>
  <c r="S497" i="1" s="1"/>
  <c r="N497" i="1"/>
  <c r="E497" i="1"/>
  <c r="Q496" i="1"/>
  <c r="R496" i="1" s="1"/>
  <c r="S496" i="1" s="1"/>
  <c r="N496" i="1"/>
  <c r="O496" i="1" s="1"/>
  <c r="E496" i="1"/>
  <c r="Q495" i="1"/>
  <c r="R495" i="1" s="1"/>
  <c r="S495" i="1" s="1"/>
  <c r="N495" i="1"/>
  <c r="P495" i="1" s="1"/>
  <c r="E495" i="1"/>
  <c r="Q494" i="1"/>
  <c r="R494" i="1" s="1"/>
  <c r="S494" i="1" s="1"/>
  <c r="N494" i="1"/>
  <c r="P494" i="1" s="1"/>
  <c r="E494" i="1"/>
  <c r="Q493" i="1"/>
  <c r="R493" i="1" s="1"/>
  <c r="S493" i="1" s="1"/>
  <c r="N493" i="1"/>
  <c r="P493" i="1" s="1"/>
  <c r="E493" i="1"/>
  <c r="Q492" i="1"/>
  <c r="R492" i="1" s="1"/>
  <c r="S492" i="1" s="1"/>
  <c r="N492" i="1"/>
  <c r="O492" i="1" s="1"/>
  <c r="E492" i="1"/>
  <c r="Q491" i="1"/>
  <c r="R491" i="1" s="1"/>
  <c r="S491" i="1" s="1"/>
  <c r="N491" i="1"/>
  <c r="E491" i="1"/>
  <c r="Q490" i="1"/>
  <c r="R490" i="1" s="1"/>
  <c r="S490" i="1" s="1"/>
  <c r="N490" i="1"/>
  <c r="P490" i="1" s="1"/>
  <c r="E490" i="1"/>
  <c r="Q489" i="1"/>
  <c r="R489" i="1" s="1"/>
  <c r="S489" i="1" s="1"/>
  <c r="O489" i="1"/>
  <c r="N489" i="1"/>
  <c r="P489" i="1" s="1"/>
  <c r="E489" i="1"/>
  <c r="Q488" i="1"/>
  <c r="R488" i="1" s="1"/>
  <c r="S488" i="1" s="1"/>
  <c r="N488" i="1"/>
  <c r="O488" i="1" s="1"/>
  <c r="E488" i="1"/>
  <c r="Q487" i="1"/>
  <c r="R487" i="1" s="1"/>
  <c r="S487" i="1" s="1"/>
  <c r="N487" i="1"/>
  <c r="P487" i="1" s="1"/>
  <c r="E487" i="1"/>
  <c r="Q486" i="1"/>
  <c r="R486" i="1" s="1"/>
  <c r="S486" i="1" s="1"/>
  <c r="N486" i="1"/>
  <c r="P486" i="1" s="1"/>
  <c r="E486" i="1"/>
  <c r="Q485" i="1"/>
  <c r="R485" i="1" s="1"/>
  <c r="S485" i="1" s="1"/>
  <c r="N485" i="1"/>
  <c r="P485" i="1" s="1"/>
  <c r="E485" i="1"/>
  <c r="Q484" i="1"/>
  <c r="R484" i="1" s="1"/>
  <c r="S484" i="1" s="1"/>
  <c r="N484" i="1"/>
  <c r="E484" i="1"/>
  <c r="Q483" i="1"/>
  <c r="R483" i="1" s="1"/>
  <c r="S483" i="1" s="1"/>
  <c r="P483" i="1"/>
  <c r="O483" i="1"/>
  <c r="N483" i="1"/>
  <c r="E483" i="1"/>
  <c r="Q482" i="1"/>
  <c r="R482" i="1" s="1"/>
  <c r="S482" i="1" s="1"/>
  <c r="N482" i="1"/>
  <c r="P482" i="1" s="1"/>
  <c r="E482" i="1"/>
  <c r="Q481" i="1"/>
  <c r="R481" i="1" s="1"/>
  <c r="S481" i="1" s="1"/>
  <c r="O481" i="1"/>
  <c r="N481" i="1"/>
  <c r="P481" i="1" s="1"/>
  <c r="E481" i="1"/>
  <c r="Q480" i="1"/>
  <c r="R480" i="1" s="1"/>
  <c r="S480" i="1" s="1"/>
  <c r="N480" i="1"/>
  <c r="O480" i="1" s="1"/>
  <c r="E480" i="1"/>
  <c r="Q479" i="1"/>
  <c r="R479" i="1" s="1"/>
  <c r="S479" i="1" s="1"/>
  <c r="N479" i="1"/>
  <c r="P479" i="1" s="1"/>
  <c r="E479" i="1"/>
  <c r="Q478" i="1"/>
  <c r="R478" i="1" s="1"/>
  <c r="S478" i="1" s="1"/>
  <c r="N478" i="1"/>
  <c r="P478" i="1" s="1"/>
  <c r="E478" i="1"/>
  <c r="Q477" i="1"/>
  <c r="R477" i="1" s="1"/>
  <c r="S477" i="1" s="1"/>
  <c r="N477" i="1"/>
  <c r="P477" i="1" s="1"/>
  <c r="E477" i="1"/>
  <c r="Q476" i="1"/>
  <c r="R476" i="1" s="1"/>
  <c r="S476" i="1" s="1"/>
  <c r="N476" i="1"/>
  <c r="E476" i="1"/>
  <c r="Q475" i="1"/>
  <c r="R475" i="1" s="1"/>
  <c r="S475" i="1" s="1"/>
  <c r="P475" i="1"/>
  <c r="O475" i="1"/>
  <c r="N475" i="1"/>
  <c r="E475" i="1"/>
  <c r="Q474" i="1"/>
  <c r="R474" i="1" s="1"/>
  <c r="S474" i="1" s="1"/>
  <c r="N474" i="1"/>
  <c r="P474" i="1" s="1"/>
  <c r="E474" i="1"/>
  <c r="Q473" i="1"/>
  <c r="R473" i="1" s="1"/>
  <c r="S473" i="1" s="1"/>
  <c r="O473" i="1"/>
  <c r="N473" i="1"/>
  <c r="P473" i="1" s="1"/>
  <c r="E473" i="1"/>
  <c r="Q472" i="1"/>
  <c r="R472" i="1" s="1"/>
  <c r="S472" i="1" s="1"/>
  <c r="N472" i="1"/>
  <c r="O472" i="1" s="1"/>
  <c r="E472" i="1"/>
  <c r="Q471" i="1"/>
  <c r="R471" i="1" s="1"/>
  <c r="S471" i="1" s="1"/>
  <c r="N471" i="1"/>
  <c r="E471" i="1"/>
  <c r="Q470" i="1"/>
  <c r="R470" i="1" s="1"/>
  <c r="S470" i="1" s="1"/>
  <c r="N470" i="1"/>
  <c r="P470" i="1" s="1"/>
  <c r="E470" i="1"/>
  <c r="Q469" i="1"/>
  <c r="R469" i="1" s="1"/>
  <c r="S469" i="1" s="1"/>
  <c r="N469" i="1"/>
  <c r="E469" i="1"/>
  <c r="Q468" i="1"/>
  <c r="R468" i="1" s="1"/>
  <c r="S468" i="1" s="1"/>
  <c r="P468" i="1"/>
  <c r="N468" i="1"/>
  <c r="O468" i="1" s="1"/>
  <c r="E468" i="1"/>
  <c r="Q467" i="1"/>
  <c r="R467" i="1" s="1"/>
  <c r="S467" i="1" s="1"/>
  <c r="P467" i="1"/>
  <c r="O467" i="1"/>
  <c r="N467" i="1"/>
  <c r="E467" i="1"/>
  <c r="R466" i="1"/>
  <c r="S466" i="1" s="1"/>
  <c r="Q466" i="1"/>
  <c r="N466" i="1"/>
  <c r="P466" i="1" s="1"/>
  <c r="E466" i="1"/>
  <c r="Q465" i="1"/>
  <c r="R465" i="1" s="1"/>
  <c r="S465" i="1" s="1"/>
  <c r="O465" i="1"/>
  <c r="N465" i="1"/>
  <c r="P465" i="1" s="1"/>
  <c r="E465" i="1"/>
  <c r="R464" i="1"/>
  <c r="S464" i="1" s="1"/>
  <c r="Q464" i="1"/>
  <c r="N464" i="1"/>
  <c r="O464" i="1" s="1"/>
  <c r="E464" i="1"/>
  <c r="Q463" i="1"/>
  <c r="R463" i="1" s="1"/>
  <c r="S463" i="1" s="1"/>
  <c r="N463" i="1"/>
  <c r="E463" i="1"/>
  <c r="Q462" i="1"/>
  <c r="R462" i="1" s="1"/>
  <c r="S462" i="1" s="1"/>
  <c r="N462" i="1"/>
  <c r="P462" i="1" s="1"/>
  <c r="E462" i="1"/>
  <c r="Q461" i="1"/>
  <c r="R461" i="1" s="1"/>
  <c r="S461" i="1" s="1"/>
  <c r="N461" i="1"/>
  <c r="E461" i="1"/>
  <c r="Q460" i="1"/>
  <c r="R460" i="1" s="1"/>
  <c r="S460" i="1" s="1"/>
  <c r="P460" i="1"/>
  <c r="N460" i="1"/>
  <c r="O460" i="1" s="1"/>
  <c r="E460" i="1"/>
  <c r="Q459" i="1"/>
  <c r="R459" i="1" s="1"/>
  <c r="S459" i="1" s="1"/>
  <c r="N459" i="1"/>
  <c r="E459" i="1"/>
  <c r="R458" i="1"/>
  <c r="S458" i="1" s="1"/>
  <c r="Q458" i="1"/>
  <c r="N458" i="1"/>
  <c r="P458" i="1" s="1"/>
  <c r="E458" i="1"/>
  <c r="Q457" i="1"/>
  <c r="R457" i="1" s="1"/>
  <c r="S457" i="1" s="1"/>
  <c r="N457" i="1"/>
  <c r="E457" i="1"/>
  <c r="R456" i="1"/>
  <c r="S456" i="1" s="1"/>
  <c r="Q456" i="1"/>
  <c r="N456" i="1"/>
  <c r="O456" i="1" s="1"/>
  <c r="E456" i="1"/>
  <c r="Q455" i="1"/>
  <c r="R455" i="1" s="1"/>
  <c r="S455" i="1" s="1"/>
  <c r="N455" i="1"/>
  <c r="E455" i="1"/>
  <c r="Q454" i="1"/>
  <c r="R454" i="1" s="1"/>
  <c r="S454" i="1" s="1"/>
  <c r="N454" i="1"/>
  <c r="P454" i="1" s="1"/>
  <c r="E454" i="1"/>
  <c r="Q453" i="1"/>
  <c r="R453" i="1" s="1"/>
  <c r="S453" i="1" s="1"/>
  <c r="N453" i="1"/>
  <c r="E453" i="1"/>
  <c r="Q452" i="1"/>
  <c r="R452" i="1" s="1"/>
  <c r="S452" i="1" s="1"/>
  <c r="P452" i="1"/>
  <c r="N452" i="1"/>
  <c r="O452" i="1" s="1"/>
  <c r="E452" i="1"/>
  <c r="Q451" i="1"/>
  <c r="R451" i="1" s="1"/>
  <c r="S451" i="1" s="1"/>
  <c r="P451" i="1"/>
  <c r="O451" i="1"/>
  <c r="N451" i="1"/>
  <c r="E451" i="1"/>
  <c r="R450" i="1"/>
  <c r="S450" i="1" s="1"/>
  <c r="Q450" i="1"/>
  <c r="N450" i="1"/>
  <c r="P450" i="1" s="1"/>
  <c r="E450" i="1"/>
  <c r="Q449" i="1"/>
  <c r="R449" i="1" s="1"/>
  <c r="S449" i="1" s="1"/>
  <c r="O449" i="1"/>
  <c r="N449" i="1"/>
  <c r="P449" i="1" s="1"/>
  <c r="E449" i="1"/>
  <c r="R448" i="1"/>
  <c r="S448" i="1" s="1"/>
  <c r="Q448" i="1"/>
  <c r="N448" i="1"/>
  <c r="E448" i="1"/>
  <c r="Q447" i="1"/>
  <c r="R447" i="1" s="1"/>
  <c r="S447" i="1" s="1"/>
  <c r="O447" i="1"/>
  <c r="N447" i="1"/>
  <c r="P447" i="1" s="1"/>
  <c r="E447" i="1"/>
  <c r="Q446" i="1"/>
  <c r="R446" i="1" s="1"/>
  <c r="S446" i="1" s="1"/>
  <c r="N446" i="1"/>
  <c r="P446" i="1" s="1"/>
  <c r="E446" i="1"/>
  <c r="Q445" i="1"/>
  <c r="R445" i="1" s="1"/>
  <c r="S445" i="1" s="1"/>
  <c r="O445" i="1"/>
  <c r="N445" i="1"/>
  <c r="P445" i="1" s="1"/>
  <c r="E445" i="1"/>
  <c r="Q444" i="1"/>
  <c r="R444" i="1" s="1"/>
  <c r="S444" i="1" s="1"/>
  <c r="P444" i="1"/>
  <c r="N444" i="1"/>
  <c r="O444" i="1" s="1"/>
  <c r="E444" i="1"/>
  <c r="Q443" i="1"/>
  <c r="R443" i="1" s="1"/>
  <c r="S443" i="1" s="1"/>
  <c r="P443" i="1"/>
  <c r="O443" i="1"/>
  <c r="N443" i="1"/>
  <c r="E443" i="1"/>
  <c r="R442" i="1"/>
  <c r="S442" i="1" s="1"/>
  <c r="Q442" i="1"/>
  <c r="N442" i="1"/>
  <c r="O442" i="1" s="1"/>
  <c r="E442" i="1"/>
  <c r="S441" i="1"/>
  <c r="Q441" i="1"/>
  <c r="R441" i="1" s="1"/>
  <c r="N441" i="1"/>
  <c r="E441" i="1"/>
  <c r="R440" i="1"/>
  <c r="S440" i="1" s="1"/>
  <c r="Q440" i="1"/>
  <c r="N440" i="1"/>
  <c r="O440" i="1" s="1"/>
  <c r="E440" i="1"/>
  <c r="S439" i="1"/>
  <c r="Q439" i="1"/>
  <c r="R439" i="1" s="1"/>
  <c r="O439" i="1"/>
  <c r="N439" i="1"/>
  <c r="P439" i="1" s="1"/>
  <c r="E439" i="1"/>
  <c r="Q438" i="1"/>
  <c r="R438" i="1" s="1"/>
  <c r="S438" i="1" s="1"/>
  <c r="N438" i="1"/>
  <c r="O438" i="1" s="1"/>
  <c r="E438" i="1"/>
  <c r="Q437" i="1"/>
  <c r="R437" i="1" s="1"/>
  <c r="S437" i="1" s="1"/>
  <c r="O437" i="1"/>
  <c r="N437" i="1"/>
  <c r="P437" i="1" s="1"/>
  <c r="E437" i="1"/>
  <c r="Q436" i="1"/>
  <c r="R436" i="1" s="1"/>
  <c r="S436" i="1" s="1"/>
  <c r="P436" i="1"/>
  <c r="N436" i="1"/>
  <c r="O436" i="1" s="1"/>
  <c r="E436" i="1"/>
  <c r="Q435" i="1"/>
  <c r="R435" i="1" s="1"/>
  <c r="S435" i="1" s="1"/>
  <c r="P435" i="1"/>
  <c r="N435" i="1"/>
  <c r="O435" i="1" s="1"/>
  <c r="E435" i="1"/>
  <c r="R434" i="1"/>
  <c r="S434" i="1" s="1"/>
  <c r="Q434" i="1"/>
  <c r="N434" i="1"/>
  <c r="O434" i="1" s="1"/>
  <c r="E434" i="1"/>
  <c r="Q433" i="1"/>
  <c r="R433" i="1" s="1"/>
  <c r="S433" i="1" s="1"/>
  <c r="N433" i="1"/>
  <c r="E433" i="1"/>
  <c r="Q432" i="1"/>
  <c r="R432" i="1" s="1"/>
  <c r="S432" i="1" s="1"/>
  <c r="N432" i="1"/>
  <c r="O432" i="1" s="1"/>
  <c r="E432" i="1"/>
  <c r="Q431" i="1"/>
  <c r="R431" i="1" s="1"/>
  <c r="S431" i="1" s="1"/>
  <c r="N431" i="1"/>
  <c r="P431" i="1" s="1"/>
  <c r="E431" i="1"/>
  <c r="Q430" i="1"/>
  <c r="R430" i="1" s="1"/>
  <c r="S430" i="1" s="1"/>
  <c r="P430" i="1"/>
  <c r="N430" i="1"/>
  <c r="O430" i="1" s="1"/>
  <c r="E430" i="1"/>
  <c r="Q429" i="1"/>
  <c r="R429" i="1" s="1"/>
  <c r="S429" i="1" s="1"/>
  <c r="O429" i="1"/>
  <c r="N429" i="1"/>
  <c r="P429" i="1" s="1"/>
  <c r="E429" i="1"/>
  <c r="Q428" i="1"/>
  <c r="R428" i="1" s="1"/>
  <c r="S428" i="1" s="1"/>
  <c r="N428" i="1"/>
  <c r="E428" i="1"/>
  <c r="Q427" i="1"/>
  <c r="R427" i="1" s="1"/>
  <c r="S427" i="1" s="1"/>
  <c r="N427" i="1"/>
  <c r="P427" i="1" s="1"/>
  <c r="E427" i="1"/>
  <c r="Q426" i="1"/>
  <c r="R426" i="1" s="1"/>
  <c r="S426" i="1" s="1"/>
  <c r="N426" i="1"/>
  <c r="O426" i="1" s="1"/>
  <c r="E426" i="1"/>
  <c r="Q425" i="1"/>
  <c r="R425" i="1" s="1"/>
  <c r="S425" i="1" s="1"/>
  <c r="N425" i="1"/>
  <c r="P425" i="1" s="1"/>
  <c r="E425" i="1"/>
  <c r="Q424" i="1"/>
  <c r="R424" i="1" s="1"/>
  <c r="S424" i="1" s="1"/>
  <c r="N424" i="1"/>
  <c r="O424" i="1" s="1"/>
  <c r="E424" i="1"/>
  <c r="Q423" i="1"/>
  <c r="R423" i="1" s="1"/>
  <c r="S423" i="1" s="1"/>
  <c r="N423" i="1"/>
  <c r="P423" i="1" s="1"/>
  <c r="E423" i="1"/>
  <c r="Q422" i="1"/>
  <c r="R422" i="1" s="1"/>
  <c r="S422" i="1" s="1"/>
  <c r="N422" i="1"/>
  <c r="O422" i="1" s="1"/>
  <c r="E422" i="1"/>
  <c r="Q421" i="1"/>
  <c r="R421" i="1" s="1"/>
  <c r="S421" i="1" s="1"/>
  <c r="N421" i="1"/>
  <c r="O421" i="1" s="1"/>
  <c r="E421" i="1"/>
  <c r="Q420" i="1"/>
  <c r="R420" i="1" s="1"/>
  <c r="S420" i="1" s="1"/>
  <c r="N420" i="1"/>
  <c r="P420" i="1" s="1"/>
  <c r="E420" i="1"/>
  <c r="Q419" i="1"/>
  <c r="R419" i="1" s="1"/>
  <c r="S419" i="1" s="1"/>
  <c r="N419" i="1"/>
  <c r="E419" i="1"/>
  <c r="R418" i="1"/>
  <c r="S418" i="1" s="1"/>
  <c r="Q418" i="1"/>
  <c r="P418" i="1"/>
  <c r="N418" i="1"/>
  <c r="O418" i="1" s="1"/>
  <c r="E418" i="1"/>
  <c r="Q417" i="1"/>
  <c r="R417" i="1" s="1"/>
  <c r="S417" i="1" s="1"/>
  <c r="P417" i="1"/>
  <c r="O417" i="1"/>
  <c r="N417" i="1"/>
  <c r="E417" i="1"/>
  <c r="R416" i="1"/>
  <c r="S416" i="1" s="1"/>
  <c r="Q416" i="1"/>
  <c r="N416" i="1"/>
  <c r="P416" i="1" s="1"/>
  <c r="E416" i="1"/>
  <c r="Q415" i="1"/>
  <c r="R415" i="1" s="1"/>
  <c r="S415" i="1" s="1"/>
  <c r="O415" i="1"/>
  <c r="N415" i="1"/>
  <c r="P415" i="1" s="1"/>
  <c r="E415" i="1"/>
  <c r="R414" i="1"/>
  <c r="S414" i="1" s="1"/>
  <c r="Q414" i="1"/>
  <c r="P414" i="1"/>
  <c r="N414" i="1"/>
  <c r="O414" i="1" s="1"/>
  <c r="E414" i="1"/>
  <c r="Q413" i="1"/>
  <c r="R413" i="1" s="1"/>
  <c r="S413" i="1" s="1"/>
  <c r="P413" i="1"/>
  <c r="N413" i="1"/>
  <c r="O413" i="1" s="1"/>
  <c r="E413" i="1"/>
  <c r="R412" i="1"/>
  <c r="S412" i="1" s="1"/>
  <c r="Q412" i="1"/>
  <c r="N412" i="1"/>
  <c r="P412" i="1" s="1"/>
  <c r="E412" i="1"/>
  <c r="Q411" i="1"/>
  <c r="R411" i="1" s="1"/>
  <c r="S411" i="1" s="1"/>
  <c r="N411" i="1"/>
  <c r="E411" i="1"/>
  <c r="R410" i="1"/>
  <c r="S410" i="1" s="1"/>
  <c r="Q410" i="1"/>
  <c r="N410" i="1"/>
  <c r="O410" i="1" s="1"/>
  <c r="E410" i="1"/>
  <c r="Q409" i="1"/>
  <c r="R409" i="1" s="1"/>
  <c r="S409" i="1" s="1"/>
  <c r="N409" i="1"/>
  <c r="P409" i="1" s="1"/>
  <c r="E409" i="1"/>
  <c r="Q408" i="1"/>
  <c r="R408" i="1" s="1"/>
  <c r="S408" i="1" s="1"/>
  <c r="N408" i="1"/>
  <c r="P408" i="1" s="1"/>
  <c r="E408" i="1"/>
  <c r="Q407" i="1"/>
  <c r="R407" i="1" s="1"/>
  <c r="S407" i="1" s="1"/>
  <c r="N407" i="1"/>
  <c r="P407" i="1" s="1"/>
  <c r="E407" i="1"/>
  <c r="Q406" i="1"/>
  <c r="R406" i="1" s="1"/>
  <c r="S406" i="1" s="1"/>
  <c r="N406" i="1"/>
  <c r="E406" i="1"/>
  <c r="Q405" i="1"/>
  <c r="R405" i="1" s="1"/>
  <c r="S405" i="1" s="1"/>
  <c r="N405" i="1"/>
  <c r="E405" i="1"/>
  <c r="Q404" i="1"/>
  <c r="R404" i="1" s="1"/>
  <c r="S404" i="1" s="1"/>
  <c r="N404" i="1"/>
  <c r="P404" i="1" s="1"/>
  <c r="E404" i="1"/>
  <c r="Q403" i="1"/>
  <c r="R403" i="1" s="1"/>
  <c r="S403" i="1" s="1"/>
  <c r="N403" i="1"/>
  <c r="P403" i="1" s="1"/>
  <c r="E403" i="1"/>
  <c r="Q402" i="1"/>
  <c r="R402" i="1" s="1"/>
  <c r="S402" i="1" s="1"/>
  <c r="N402" i="1"/>
  <c r="O402" i="1" s="1"/>
  <c r="E402" i="1"/>
  <c r="Q401" i="1"/>
  <c r="R401" i="1" s="1"/>
  <c r="S401" i="1" s="1"/>
  <c r="P401" i="1"/>
  <c r="O401" i="1"/>
  <c r="N401" i="1"/>
  <c r="E401" i="1"/>
  <c r="Q400" i="1"/>
  <c r="R400" i="1" s="1"/>
  <c r="S400" i="1" s="1"/>
  <c r="N400" i="1"/>
  <c r="P400" i="1" s="1"/>
  <c r="E400" i="1"/>
  <c r="Q399" i="1"/>
  <c r="R399" i="1" s="1"/>
  <c r="S399" i="1" s="1"/>
  <c r="O399" i="1"/>
  <c r="N399" i="1"/>
  <c r="P399" i="1" s="1"/>
  <c r="E399" i="1"/>
  <c r="Q398" i="1"/>
  <c r="R398" i="1" s="1"/>
  <c r="S398" i="1" s="1"/>
  <c r="N398" i="1"/>
  <c r="E398" i="1"/>
  <c r="Q397" i="1"/>
  <c r="R397" i="1" s="1"/>
  <c r="S397" i="1" s="1"/>
  <c r="N397" i="1"/>
  <c r="E397" i="1"/>
  <c r="Q396" i="1"/>
  <c r="R396" i="1" s="1"/>
  <c r="S396" i="1" s="1"/>
  <c r="N396" i="1"/>
  <c r="P396" i="1" s="1"/>
  <c r="E396" i="1"/>
  <c r="Q395" i="1"/>
  <c r="R395" i="1" s="1"/>
  <c r="S395" i="1" s="1"/>
  <c r="N395" i="1"/>
  <c r="P395" i="1" s="1"/>
  <c r="E395" i="1"/>
  <c r="Q394" i="1"/>
  <c r="R394" i="1" s="1"/>
  <c r="S394" i="1" s="1"/>
  <c r="N394" i="1"/>
  <c r="O394" i="1" s="1"/>
  <c r="E394" i="1"/>
  <c r="Q393" i="1"/>
  <c r="R393" i="1" s="1"/>
  <c r="S393" i="1" s="1"/>
  <c r="P393" i="1"/>
  <c r="O393" i="1"/>
  <c r="N393" i="1"/>
  <c r="E393" i="1"/>
  <c r="Q392" i="1"/>
  <c r="R392" i="1" s="1"/>
  <c r="S392" i="1" s="1"/>
  <c r="N392" i="1"/>
  <c r="P392" i="1" s="1"/>
  <c r="E392" i="1"/>
  <c r="Q391" i="1"/>
  <c r="R391" i="1" s="1"/>
  <c r="S391" i="1" s="1"/>
  <c r="N391" i="1"/>
  <c r="P391" i="1" s="1"/>
  <c r="E391" i="1"/>
  <c r="Q390" i="1"/>
  <c r="R390" i="1" s="1"/>
  <c r="S390" i="1" s="1"/>
  <c r="N390" i="1"/>
  <c r="E390" i="1"/>
  <c r="Q389" i="1"/>
  <c r="R389" i="1" s="1"/>
  <c r="S389" i="1" s="1"/>
  <c r="N389" i="1"/>
  <c r="E389" i="1"/>
  <c r="Q388" i="1"/>
  <c r="R388" i="1" s="1"/>
  <c r="S388" i="1" s="1"/>
  <c r="N388" i="1"/>
  <c r="P388" i="1" s="1"/>
  <c r="E388" i="1"/>
  <c r="Q387" i="1"/>
  <c r="R387" i="1" s="1"/>
  <c r="S387" i="1" s="1"/>
  <c r="N387" i="1"/>
  <c r="P387" i="1" s="1"/>
  <c r="E387" i="1"/>
  <c r="Q386" i="1"/>
  <c r="R386" i="1" s="1"/>
  <c r="S386" i="1" s="1"/>
  <c r="N386" i="1"/>
  <c r="O386" i="1" s="1"/>
  <c r="E386" i="1"/>
  <c r="Q385" i="1"/>
  <c r="R385" i="1" s="1"/>
  <c r="S385" i="1" s="1"/>
  <c r="P385" i="1"/>
  <c r="O385" i="1"/>
  <c r="N385" i="1"/>
  <c r="E385" i="1"/>
  <c r="Q384" i="1"/>
  <c r="R384" i="1" s="1"/>
  <c r="S384" i="1" s="1"/>
  <c r="N384" i="1"/>
  <c r="P384" i="1" s="1"/>
  <c r="E384" i="1"/>
  <c r="Q383" i="1"/>
  <c r="R383" i="1" s="1"/>
  <c r="S383" i="1" s="1"/>
  <c r="O383" i="1"/>
  <c r="N383" i="1"/>
  <c r="P383" i="1" s="1"/>
  <c r="E383" i="1"/>
  <c r="Q382" i="1"/>
  <c r="R382" i="1" s="1"/>
  <c r="S382" i="1" s="1"/>
  <c r="N382" i="1"/>
  <c r="E382" i="1"/>
  <c r="Q381" i="1"/>
  <c r="R381" i="1" s="1"/>
  <c r="S381" i="1" s="1"/>
  <c r="N381" i="1"/>
  <c r="E381" i="1"/>
  <c r="Q380" i="1"/>
  <c r="R380" i="1" s="1"/>
  <c r="S380" i="1" s="1"/>
  <c r="N380" i="1"/>
  <c r="P380" i="1" s="1"/>
  <c r="E380" i="1"/>
  <c r="Q379" i="1"/>
  <c r="R379" i="1" s="1"/>
  <c r="S379" i="1" s="1"/>
  <c r="N379" i="1"/>
  <c r="P379" i="1" s="1"/>
  <c r="E379" i="1"/>
  <c r="Q378" i="1"/>
  <c r="R378" i="1" s="1"/>
  <c r="S378" i="1" s="1"/>
  <c r="N378" i="1"/>
  <c r="O378" i="1" s="1"/>
  <c r="E378" i="1"/>
  <c r="Q377" i="1"/>
  <c r="R377" i="1" s="1"/>
  <c r="S377" i="1" s="1"/>
  <c r="P377" i="1"/>
  <c r="O377" i="1"/>
  <c r="N377" i="1"/>
  <c r="E377" i="1"/>
  <c r="Q376" i="1"/>
  <c r="R376" i="1" s="1"/>
  <c r="S376" i="1" s="1"/>
  <c r="N376" i="1"/>
  <c r="P376" i="1" s="1"/>
  <c r="E376" i="1"/>
  <c r="Q375" i="1"/>
  <c r="R375" i="1" s="1"/>
  <c r="S375" i="1" s="1"/>
  <c r="N375" i="1"/>
  <c r="P375" i="1" s="1"/>
  <c r="E375" i="1"/>
  <c r="Q374" i="1"/>
  <c r="R374" i="1" s="1"/>
  <c r="S374" i="1" s="1"/>
  <c r="N374" i="1"/>
  <c r="E374" i="1"/>
  <c r="Q373" i="1"/>
  <c r="R373" i="1" s="1"/>
  <c r="S373" i="1" s="1"/>
  <c r="N373" i="1"/>
  <c r="E373" i="1"/>
  <c r="Q372" i="1"/>
  <c r="R372" i="1" s="1"/>
  <c r="S372" i="1" s="1"/>
  <c r="N372" i="1"/>
  <c r="P372" i="1" s="1"/>
  <c r="E372" i="1"/>
  <c r="Q371" i="1"/>
  <c r="R371" i="1" s="1"/>
  <c r="S371" i="1" s="1"/>
  <c r="N371" i="1"/>
  <c r="P371" i="1" s="1"/>
  <c r="E371" i="1"/>
  <c r="Q370" i="1"/>
  <c r="R370" i="1" s="1"/>
  <c r="S370" i="1" s="1"/>
  <c r="N370" i="1"/>
  <c r="O370" i="1" s="1"/>
  <c r="E370" i="1"/>
  <c r="Q369" i="1"/>
  <c r="R369" i="1" s="1"/>
  <c r="S369" i="1" s="1"/>
  <c r="P369" i="1"/>
  <c r="O369" i="1"/>
  <c r="N369" i="1"/>
  <c r="E369" i="1"/>
  <c r="Q368" i="1"/>
  <c r="R368" i="1" s="1"/>
  <c r="S368" i="1" s="1"/>
  <c r="N368" i="1"/>
  <c r="P368" i="1" s="1"/>
  <c r="E368" i="1"/>
  <c r="Q367" i="1"/>
  <c r="R367" i="1" s="1"/>
  <c r="S367" i="1" s="1"/>
  <c r="O367" i="1"/>
  <c r="N367" i="1"/>
  <c r="P367" i="1" s="1"/>
  <c r="E367" i="1"/>
  <c r="Q366" i="1"/>
  <c r="R366" i="1" s="1"/>
  <c r="S366" i="1" s="1"/>
  <c r="N366" i="1"/>
  <c r="E366" i="1"/>
  <c r="Q365" i="1"/>
  <c r="R365" i="1" s="1"/>
  <c r="S365" i="1" s="1"/>
  <c r="N365" i="1"/>
  <c r="P365" i="1" s="1"/>
  <c r="E365" i="1"/>
  <c r="Q364" i="1"/>
  <c r="R364" i="1" s="1"/>
  <c r="S364" i="1" s="1"/>
  <c r="N364" i="1"/>
  <c r="P364" i="1" s="1"/>
  <c r="E364" i="1"/>
  <c r="Q363" i="1"/>
  <c r="R363" i="1" s="1"/>
  <c r="S363" i="1" s="1"/>
  <c r="N363" i="1"/>
  <c r="P363" i="1" s="1"/>
  <c r="E363" i="1"/>
  <c r="Q362" i="1"/>
  <c r="R362" i="1" s="1"/>
  <c r="S362" i="1" s="1"/>
  <c r="N362" i="1"/>
  <c r="O362" i="1" s="1"/>
  <c r="E362" i="1"/>
  <c r="Q361" i="1"/>
  <c r="R361" i="1" s="1"/>
  <c r="S361" i="1" s="1"/>
  <c r="N361" i="1"/>
  <c r="P361" i="1" s="1"/>
  <c r="E361" i="1"/>
  <c r="Q360" i="1"/>
  <c r="R360" i="1" s="1"/>
  <c r="S360" i="1" s="1"/>
  <c r="N360" i="1"/>
  <c r="P360" i="1" s="1"/>
  <c r="E360" i="1"/>
  <c r="Q359" i="1"/>
  <c r="R359" i="1" s="1"/>
  <c r="S359" i="1" s="1"/>
  <c r="N359" i="1"/>
  <c r="P359" i="1" s="1"/>
  <c r="E359" i="1"/>
  <c r="Q358" i="1"/>
  <c r="R358" i="1" s="1"/>
  <c r="S358" i="1" s="1"/>
  <c r="N358" i="1"/>
  <c r="O358" i="1" s="1"/>
  <c r="E358" i="1"/>
  <c r="Q357" i="1"/>
  <c r="R357" i="1" s="1"/>
  <c r="S357" i="1" s="1"/>
  <c r="N357" i="1"/>
  <c r="P357" i="1" s="1"/>
  <c r="E357" i="1"/>
  <c r="Q356" i="1"/>
  <c r="R356" i="1" s="1"/>
  <c r="S356" i="1" s="1"/>
  <c r="N356" i="1"/>
  <c r="P356" i="1" s="1"/>
  <c r="E356" i="1"/>
  <c r="Q355" i="1"/>
  <c r="R355" i="1" s="1"/>
  <c r="S355" i="1" s="1"/>
  <c r="N355" i="1"/>
  <c r="E355" i="1"/>
  <c r="Q354" i="1"/>
  <c r="R354" i="1" s="1"/>
  <c r="S354" i="1" s="1"/>
  <c r="N354" i="1"/>
  <c r="O354" i="1" s="1"/>
  <c r="E354" i="1"/>
  <c r="Q353" i="1"/>
  <c r="R353" i="1" s="1"/>
  <c r="S353" i="1" s="1"/>
  <c r="N353" i="1"/>
  <c r="P353" i="1" s="1"/>
  <c r="E353" i="1"/>
  <c r="Q352" i="1"/>
  <c r="R352" i="1" s="1"/>
  <c r="S352" i="1" s="1"/>
  <c r="N352" i="1"/>
  <c r="P352" i="1" s="1"/>
  <c r="E352" i="1"/>
  <c r="Q351" i="1"/>
  <c r="R351" i="1" s="1"/>
  <c r="S351" i="1" s="1"/>
  <c r="N351" i="1"/>
  <c r="P351" i="1" s="1"/>
  <c r="E351" i="1"/>
  <c r="Q350" i="1"/>
  <c r="R350" i="1" s="1"/>
  <c r="S350" i="1" s="1"/>
  <c r="N350" i="1"/>
  <c r="O350" i="1" s="1"/>
  <c r="E350" i="1"/>
  <c r="Q349" i="1"/>
  <c r="R349" i="1" s="1"/>
  <c r="S349" i="1" s="1"/>
  <c r="N349" i="1"/>
  <c r="E349" i="1"/>
  <c r="Q348" i="1"/>
  <c r="R348" i="1" s="1"/>
  <c r="S348" i="1" s="1"/>
  <c r="N348" i="1"/>
  <c r="O348" i="1" s="1"/>
  <c r="E348" i="1"/>
  <c r="Q347" i="1"/>
  <c r="R347" i="1" s="1"/>
  <c r="S347" i="1" s="1"/>
  <c r="N347" i="1"/>
  <c r="P347" i="1" s="1"/>
  <c r="E347" i="1"/>
  <c r="R346" i="1"/>
  <c r="S346" i="1" s="1"/>
  <c r="Q346" i="1"/>
  <c r="N346" i="1"/>
  <c r="P346" i="1" s="1"/>
  <c r="E346" i="1"/>
  <c r="Q345" i="1"/>
  <c r="R345" i="1" s="1"/>
  <c r="S345" i="1" s="1"/>
  <c r="N345" i="1"/>
  <c r="P345" i="1" s="1"/>
  <c r="E345" i="1"/>
  <c r="Q344" i="1"/>
  <c r="R344" i="1" s="1"/>
  <c r="S344" i="1" s="1"/>
  <c r="N344" i="1"/>
  <c r="O344" i="1" s="1"/>
  <c r="E344" i="1"/>
  <c r="Q343" i="1"/>
  <c r="R343" i="1" s="1"/>
  <c r="S343" i="1" s="1"/>
  <c r="N343" i="1"/>
  <c r="P343" i="1" s="1"/>
  <c r="E343" i="1"/>
  <c r="Q342" i="1"/>
  <c r="R342" i="1" s="1"/>
  <c r="S342" i="1" s="1"/>
  <c r="N342" i="1"/>
  <c r="P342" i="1" s="1"/>
  <c r="E342" i="1"/>
  <c r="Q341" i="1"/>
  <c r="R341" i="1" s="1"/>
  <c r="S341" i="1" s="1"/>
  <c r="P341" i="1"/>
  <c r="O341" i="1"/>
  <c r="N341" i="1"/>
  <c r="E341" i="1"/>
  <c r="Q340" i="1"/>
  <c r="R340" i="1" s="1"/>
  <c r="S340" i="1" s="1"/>
  <c r="N340" i="1"/>
  <c r="O340" i="1" s="1"/>
  <c r="E340" i="1"/>
  <c r="Q339" i="1"/>
  <c r="R339" i="1" s="1"/>
  <c r="S339" i="1" s="1"/>
  <c r="N339" i="1"/>
  <c r="P339" i="1" s="1"/>
  <c r="E339" i="1"/>
  <c r="Q338" i="1"/>
  <c r="R338" i="1" s="1"/>
  <c r="S338" i="1" s="1"/>
  <c r="N338" i="1"/>
  <c r="P338" i="1" s="1"/>
  <c r="E338" i="1"/>
  <c r="Q337" i="1"/>
  <c r="R337" i="1" s="1"/>
  <c r="S337" i="1" s="1"/>
  <c r="N337" i="1"/>
  <c r="P337" i="1" s="1"/>
  <c r="E337" i="1"/>
  <c r="Q336" i="1"/>
  <c r="R336" i="1" s="1"/>
  <c r="S336" i="1" s="1"/>
  <c r="N336" i="1"/>
  <c r="O336" i="1" s="1"/>
  <c r="E336" i="1"/>
  <c r="Q335" i="1"/>
  <c r="R335" i="1" s="1"/>
  <c r="S335" i="1" s="1"/>
  <c r="N335" i="1"/>
  <c r="P335" i="1" s="1"/>
  <c r="E335" i="1"/>
  <c r="Q334" i="1"/>
  <c r="R334" i="1" s="1"/>
  <c r="S334" i="1" s="1"/>
  <c r="N334" i="1"/>
  <c r="P334" i="1" s="1"/>
  <c r="E334" i="1"/>
  <c r="Q333" i="1"/>
  <c r="R333" i="1" s="1"/>
  <c r="S333" i="1" s="1"/>
  <c r="P333" i="1"/>
  <c r="O333" i="1"/>
  <c r="N333" i="1"/>
  <c r="E333" i="1"/>
  <c r="Q332" i="1"/>
  <c r="R332" i="1" s="1"/>
  <c r="S332" i="1" s="1"/>
  <c r="N332" i="1"/>
  <c r="O332" i="1" s="1"/>
  <c r="E332" i="1"/>
  <c r="Q331" i="1"/>
  <c r="R331" i="1" s="1"/>
  <c r="S331" i="1" s="1"/>
  <c r="N331" i="1"/>
  <c r="P331" i="1" s="1"/>
  <c r="E331" i="1"/>
  <c r="R330" i="1"/>
  <c r="S330" i="1" s="1"/>
  <c r="Q330" i="1"/>
  <c r="N330" i="1"/>
  <c r="P330" i="1" s="1"/>
  <c r="E330" i="1"/>
  <c r="Q329" i="1"/>
  <c r="R329" i="1" s="1"/>
  <c r="S329" i="1" s="1"/>
  <c r="N329" i="1"/>
  <c r="P329" i="1" s="1"/>
  <c r="E329" i="1"/>
  <c r="Q328" i="1"/>
  <c r="R328" i="1" s="1"/>
  <c r="S328" i="1" s="1"/>
  <c r="N328" i="1"/>
  <c r="O328" i="1" s="1"/>
  <c r="E328" i="1"/>
  <c r="Q327" i="1"/>
  <c r="R327" i="1" s="1"/>
  <c r="S327" i="1" s="1"/>
  <c r="N327" i="1"/>
  <c r="P327" i="1" s="1"/>
  <c r="E327" i="1"/>
  <c r="Q326" i="1"/>
  <c r="R326" i="1" s="1"/>
  <c r="S326" i="1" s="1"/>
  <c r="N326" i="1"/>
  <c r="P326" i="1" s="1"/>
  <c r="E326" i="1"/>
  <c r="Q325" i="1"/>
  <c r="R325" i="1" s="1"/>
  <c r="S325" i="1" s="1"/>
  <c r="O325" i="1"/>
  <c r="N325" i="1"/>
  <c r="P325" i="1" s="1"/>
  <c r="E325" i="1"/>
  <c r="Q324" i="1"/>
  <c r="R324" i="1" s="1"/>
  <c r="S324" i="1" s="1"/>
  <c r="N324" i="1"/>
  <c r="O324" i="1" s="1"/>
  <c r="E324" i="1"/>
  <c r="Q323" i="1"/>
  <c r="R323" i="1" s="1"/>
  <c r="S323" i="1" s="1"/>
  <c r="N323" i="1"/>
  <c r="P323" i="1" s="1"/>
  <c r="E323" i="1"/>
  <c r="R322" i="1"/>
  <c r="S322" i="1" s="1"/>
  <c r="Q322" i="1"/>
  <c r="N322" i="1"/>
  <c r="P322" i="1" s="1"/>
  <c r="E322" i="1"/>
  <c r="Q321" i="1"/>
  <c r="R321" i="1" s="1"/>
  <c r="S321" i="1" s="1"/>
  <c r="N321" i="1"/>
  <c r="P321" i="1" s="1"/>
  <c r="E321" i="1"/>
  <c r="Q320" i="1"/>
  <c r="R320" i="1" s="1"/>
  <c r="S320" i="1" s="1"/>
  <c r="N320" i="1"/>
  <c r="O320" i="1" s="1"/>
  <c r="E320" i="1"/>
  <c r="Q319" i="1"/>
  <c r="R319" i="1" s="1"/>
  <c r="S319" i="1" s="1"/>
  <c r="N319" i="1"/>
  <c r="P319" i="1" s="1"/>
  <c r="E319" i="1"/>
  <c r="Q318" i="1"/>
  <c r="R318" i="1" s="1"/>
  <c r="S318" i="1" s="1"/>
  <c r="N318" i="1"/>
  <c r="P318" i="1" s="1"/>
  <c r="E318" i="1"/>
  <c r="Q317" i="1"/>
  <c r="R317" i="1" s="1"/>
  <c r="S317" i="1" s="1"/>
  <c r="N317" i="1"/>
  <c r="E317" i="1"/>
  <c r="Q316" i="1"/>
  <c r="R316" i="1" s="1"/>
  <c r="S316" i="1" s="1"/>
  <c r="N316" i="1"/>
  <c r="O316" i="1" s="1"/>
  <c r="E316" i="1"/>
  <c r="Q315" i="1"/>
  <c r="R315" i="1" s="1"/>
  <c r="S315" i="1" s="1"/>
  <c r="N315" i="1"/>
  <c r="P315" i="1" s="1"/>
  <c r="E315" i="1"/>
  <c r="R314" i="1"/>
  <c r="S314" i="1" s="1"/>
  <c r="Q314" i="1"/>
  <c r="N314" i="1"/>
  <c r="P314" i="1" s="1"/>
  <c r="E314" i="1"/>
  <c r="Q313" i="1"/>
  <c r="R313" i="1" s="1"/>
  <c r="S313" i="1" s="1"/>
  <c r="N313" i="1"/>
  <c r="P313" i="1" s="1"/>
  <c r="E313" i="1"/>
  <c r="Q312" i="1"/>
  <c r="R312" i="1" s="1"/>
  <c r="S312" i="1" s="1"/>
  <c r="N312" i="1"/>
  <c r="O312" i="1" s="1"/>
  <c r="E312" i="1"/>
  <c r="Q311" i="1"/>
  <c r="R311" i="1" s="1"/>
  <c r="S311" i="1" s="1"/>
  <c r="N311" i="1"/>
  <c r="P311" i="1" s="1"/>
  <c r="E311" i="1"/>
  <c r="Q310" i="1"/>
  <c r="R310" i="1" s="1"/>
  <c r="S310" i="1" s="1"/>
  <c r="N310" i="1"/>
  <c r="P310" i="1" s="1"/>
  <c r="E310" i="1"/>
  <c r="Q309" i="1"/>
  <c r="R309" i="1" s="1"/>
  <c r="S309" i="1" s="1"/>
  <c r="P309" i="1"/>
  <c r="O309" i="1"/>
  <c r="N309" i="1"/>
  <c r="E309" i="1"/>
  <c r="Q308" i="1"/>
  <c r="R308" i="1" s="1"/>
  <c r="S308" i="1" s="1"/>
  <c r="P308" i="1"/>
  <c r="N308" i="1"/>
  <c r="O308" i="1" s="1"/>
  <c r="E308" i="1"/>
  <c r="Q307" i="1"/>
  <c r="R307" i="1" s="1"/>
  <c r="S307" i="1" s="1"/>
  <c r="O307" i="1"/>
  <c r="N307" i="1"/>
  <c r="P307" i="1" s="1"/>
  <c r="E307" i="1"/>
  <c r="R306" i="1"/>
  <c r="S306" i="1" s="1"/>
  <c r="Q306" i="1"/>
  <c r="N306" i="1"/>
  <c r="P306" i="1" s="1"/>
  <c r="E306" i="1"/>
  <c r="Q305" i="1"/>
  <c r="R305" i="1" s="1"/>
  <c r="S305" i="1" s="1"/>
  <c r="N305" i="1"/>
  <c r="P305" i="1" s="1"/>
  <c r="E305" i="1"/>
  <c r="R304" i="1"/>
  <c r="S304" i="1" s="1"/>
  <c r="Q304" i="1"/>
  <c r="N304" i="1"/>
  <c r="O304" i="1" s="1"/>
  <c r="E304" i="1"/>
  <c r="Q303" i="1"/>
  <c r="R303" i="1" s="1"/>
  <c r="S303" i="1" s="1"/>
  <c r="N303" i="1"/>
  <c r="P303" i="1" s="1"/>
  <c r="E303" i="1"/>
  <c r="Q302" i="1"/>
  <c r="R302" i="1" s="1"/>
  <c r="S302" i="1" s="1"/>
  <c r="N302" i="1"/>
  <c r="P302" i="1" s="1"/>
  <c r="E302" i="1"/>
  <c r="Q301" i="1"/>
  <c r="R301" i="1" s="1"/>
  <c r="S301" i="1" s="1"/>
  <c r="N301" i="1"/>
  <c r="P301" i="1" s="1"/>
  <c r="E301" i="1"/>
  <c r="Q300" i="1"/>
  <c r="R300" i="1" s="1"/>
  <c r="S300" i="1" s="1"/>
  <c r="N300" i="1"/>
  <c r="O300" i="1" s="1"/>
  <c r="E300" i="1"/>
  <c r="Q299" i="1"/>
  <c r="R299" i="1" s="1"/>
  <c r="S299" i="1" s="1"/>
  <c r="N299" i="1"/>
  <c r="P299" i="1" s="1"/>
  <c r="E299" i="1"/>
  <c r="Q298" i="1"/>
  <c r="R298" i="1" s="1"/>
  <c r="S298" i="1" s="1"/>
  <c r="N298" i="1"/>
  <c r="P298" i="1" s="1"/>
  <c r="E298" i="1"/>
  <c r="Q297" i="1"/>
  <c r="R297" i="1" s="1"/>
  <c r="S297" i="1" s="1"/>
  <c r="N297" i="1"/>
  <c r="P297" i="1" s="1"/>
  <c r="E297" i="1"/>
  <c r="R296" i="1"/>
  <c r="S296" i="1" s="1"/>
  <c r="Q296" i="1"/>
  <c r="N296" i="1"/>
  <c r="O296" i="1" s="1"/>
  <c r="E296" i="1"/>
  <c r="Q295" i="1"/>
  <c r="R295" i="1" s="1"/>
  <c r="S295" i="1" s="1"/>
  <c r="N295" i="1"/>
  <c r="P295" i="1" s="1"/>
  <c r="E295" i="1"/>
  <c r="Q294" i="1"/>
  <c r="R294" i="1" s="1"/>
  <c r="S294" i="1" s="1"/>
  <c r="N294" i="1"/>
  <c r="P294" i="1" s="1"/>
  <c r="E294" i="1"/>
  <c r="Q293" i="1"/>
  <c r="R293" i="1" s="1"/>
  <c r="S293" i="1" s="1"/>
  <c r="P293" i="1"/>
  <c r="O293" i="1"/>
  <c r="N293" i="1"/>
  <c r="E293" i="1"/>
  <c r="Q292" i="1"/>
  <c r="R292" i="1" s="1"/>
  <c r="S292" i="1" s="1"/>
  <c r="P292" i="1"/>
  <c r="N292" i="1"/>
  <c r="O292" i="1" s="1"/>
  <c r="E292" i="1"/>
  <c r="Q291" i="1"/>
  <c r="R291" i="1" s="1"/>
  <c r="S291" i="1" s="1"/>
  <c r="O291" i="1"/>
  <c r="N291" i="1"/>
  <c r="P291" i="1" s="1"/>
  <c r="E291" i="1"/>
  <c r="Q290" i="1"/>
  <c r="R290" i="1" s="1"/>
  <c r="S290" i="1" s="1"/>
  <c r="N290" i="1"/>
  <c r="P290" i="1" s="1"/>
  <c r="E290" i="1"/>
  <c r="Q289" i="1"/>
  <c r="R289" i="1" s="1"/>
  <c r="S289" i="1" s="1"/>
  <c r="N289" i="1"/>
  <c r="P289" i="1" s="1"/>
  <c r="E289" i="1"/>
  <c r="R288" i="1"/>
  <c r="S288" i="1" s="1"/>
  <c r="Q288" i="1"/>
  <c r="N288" i="1"/>
  <c r="O288" i="1" s="1"/>
  <c r="E288" i="1"/>
  <c r="Q287" i="1"/>
  <c r="R287" i="1" s="1"/>
  <c r="S287" i="1" s="1"/>
  <c r="N287" i="1"/>
  <c r="P287" i="1" s="1"/>
  <c r="E287" i="1"/>
  <c r="Q286" i="1"/>
  <c r="R286" i="1" s="1"/>
  <c r="S286" i="1" s="1"/>
  <c r="N286" i="1"/>
  <c r="P286" i="1" s="1"/>
  <c r="E286" i="1"/>
  <c r="Q285" i="1"/>
  <c r="R285" i="1" s="1"/>
  <c r="S285" i="1" s="1"/>
  <c r="N285" i="1"/>
  <c r="P285" i="1" s="1"/>
  <c r="E285" i="1"/>
  <c r="Q284" i="1"/>
  <c r="R284" i="1" s="1"/>
  <c r="S284" i="1" s="1"/>
  <c r="N284" i="1"/>
  <c r="O284" i="1" s="1"/>
  <c r="E284" i="1"/>
  <c r="Q283" i="1"/>
  <c r="R283" i="1" s="1"/>
  <c r="S283" i="1" s="1"/>
  <c r="N283" i="1"/>
  <c r="P283" i="1" s="1"/>
  <c r="E283" i="1"/>
  <c r="R282" i="1"/>
  <c r="S282" i="1" s="1"/>
  <c r="Q282" i="1"/>
  <c r="N282" i="1"/>
  <c r="P282" i="1" s="1"/>
  <c r="E282" i="1"/>
  <c r="Q281" i="1"/>
  <c r="R281" i="1" s="1"/>
  <c r="S281" i="1" s="1"/>
  <c r="N281" i="1"/>
  <c r="P281" i="1" s="1"/>
  <c r="E281" i="1"/>
  <c r="Q280" i="1"/>
  <c r="R280" i="1" s="1"/>
  <c r="S280" i="1" s="1"/>
  <c r="N280" i="1"/>
  <c r="O280" i="1" s="1"/>
  <c r="E280" i="1"/>
  <c r="Q279" i="1"/>
  <c r="R279" i="1" s="1"/>
  <c r="S279" i="1" s="1"/>
  <c r="O279" i="1"/>
  <c r="N279" i="1"/>
  <c r="P279" i="1" s="1"/>
  <c r="E279" i="1"/>
  <c r="Q278" i="1"/>
  <c r="R278" i="1" s="1"/>
  <c r="S278" i="1" s="1"/>
  <c r="N278" i="1"/>
  <c r="O278" i="1" s="1"/>
  <c r="E278" i="1"/>
  <c r="Q277" i="1"/>
  <c r="R277" i="1" s="1"/>
  <c r="S277" i="1" s="1"/>
  <c r="N277" i="1"/>
  <c r="P277" i="1" s="1"/>
  <c r="E277" i="1"/>
  <c r="Q276" i="1"/>
  <c r="R276" i="1" s="1"/>
  <c r="S276" i="1" s="1"/>
  <c r="N276" i="1"/>
  <c r="O276" i="1" s="1"/>
  <c r="E276" i="1"/>
  <c r="Q275" i="1"/>
  <c r="R275" i="1" s="1"/>
  <c r="S275" i="1" s="1"/>
  <c r="N275" i="1"/>
  <c r="P275" i="1" s="1"/>
  <c r="E275" i="1"/>
  <c r="Q274" i="1"/>
  <c r="R274" i="1" s="1"/>
  <c r="S274" i="1" s="1"/>
  <c r="N274" i="1"/>
  <c r="O274" i="1" s="1"/>
  <c r="E274" i="1"/>
  <c r="Q273" i="1"/>
  <c r="R273" i="1" s="1"/>
  <c r="S273" i="1" s="1"/>
  <c r="P273" i="1"/>
  <c r="O273" i="1"/>
  <c r="N273" i="1"/>
  <c r="E273" i="1"/>
  <c r="Q272" i="1"/>
  <c r="R272" i="1" s="1"/>
  <c r="S272" i="1" s="1"/>
  <c r="N272" i="1"/>
  <c r="O272" i="1" s="1"/>
  <c r="E272" i="1"/>
  <c r="Q271" i="1"/>
  <c r="R271" i="1" s="1"/>
  <c r="S271" i="1" s="1"/>
  <c r="N271" i="1"/>
  <c r="P271" i="1" s="1"/>
  <c r="E271" i="1"/>
  <c r="Q270" i="1"/>
  <c r="R270" i="1" s="1"/>
  <c r="S270" i="1" s="1"/>
  <c r="N270" i="1"/>
  <c r="O270" i="1" s="1"/>
  <c r="E270" i="1"/>
  <c r="Q269" i="1"/>
  <c r="R269" i="1" s="1"/>
  <c r="S269" i="1" s="1"/>
  <c r="O269" i="1"/>
  <c r="N269" i="1"/>
  <c r="P269" i="1" s="1"/>
  <c r="E269" i="1"/>
  <c r="Q268" i="1"/>
  <c r="R268" i="1" s="1"/>
  <c r="S268" i="1" s="1"/>
  <c r="P268" i="1"/>
  <c r="N268" i="1"/>
  <c r="O268" i="1" s="1"/>
  <c r="E268" i="1"/>
  <c r="Q267" i="1"/>
  <c r="R267" i="1" s="1"/>
  <c r="S267" i="1" s="1"/>
  <c r="O267" i="1"/>
  <c r="N267" i="1"/>
  <c r="P267" i="1" s="1"/>
  <c r="E267" i="1"/>
  <c r="Q266" i="1"/>
  <c r="R266" i="1" s="1"/>
  <c r="S266" i="1" s="1"/>
  <c r="N266" i="1"/>
  <c r="O266" i="1" s="1"/>
  <c r="E266" i="1"/>
  <c r="Q265" i="1"/>
  <c r="R265" i="1" s="1"/>
  <c r="S265" i="1" s="1"/>
  <c r="N265" i="1"/>
  <c r="O265" i="1" s="1"/>
  <c r="E265" i="1"/>
  <c r="Q264" i="1"/>
  <c r="R264" i="1" s="1"/>
  <c r="S264" i="1" s="1"/>
  <c r="N264" i="1"/>
  <c r="O264" i="1" s="1"/>
  <c r="E264" i="1"/>
  <c r="Q263" i="1"/>
  <c r="R263" i="1" s="1"/>
  <c r="S263" i="1" s="1"/>
  <c r="O263" i="1"/>
  <c r="N263" i="1"/>
  <c r="P263" i="1" s="1"/>
  <c r="E263" i="1"/>
  <c r="Q262" i="1"/>
  <c r="R262" i="1" s="1"/>
  <c r="S262" i="1" s="1"/>
  <c r="N262" i="1"/>
  <c r="O262" i="1" s="1"/>
  <c r="E262" i="1"/>
  <c r="Q261" i="1"/>
  <c r="R261" i="1" s="1"/>
  <c r="S261" i="1" s="1"/>
  <c r="N261" i="1"/>
  <c r="P261" i="1" s="1"/>
  <c r="E261" i="1"/>
  <c r="Q260" i="1"/>
  <c r="R260" i="1" s="1"/>
  <c r="S260" i="1" s="1"/>
  <c r="N260" i="1"/>
  <c r="O260" i="1" s="1"/>
  <c r="E260" i="1"/>
  <c r="Q259" i="1"/>
  <c r="R259" i="1" s="1"/>
  <c r="S259" i="1" s="1"/>
  <c r="N259" i="1"/>
  <c r="P259" i="1" s="1"/>
  <c r="E259" i="1"/>
  <c r="R258" i="1"/>
  <c r="S258" i="1" s="1"/>
  <c r="Q258" i="1"/>
  <c r="N258" i="1"/>
  <c r="O258" i="1" s="1"/>
  <c r="E258" i="1"/>
  <c r="Q257" i="1"/>
  <c r="R257" i="1" s="1"/>
  <c r="S257" i="1" s="1"/>
  <c r="N257" i="1"/>
  <c r="O257" i="1" s="1"/>
  <c r="E257" i="1"/>
  <c r="Q256" i="1"/>
  <c r="R256" i="1" s="1"/>
  <c r="S256" i="1" s="1"/>
  <c r="O256" i="1"/>
  <c r="N256" i="1"/>
  <c r="P256" i="1" s="1"/>
  <c r="E256" i="1"/>
  <c r="Q255" i="1"/>
  <c r="R255" i="1" s="1"/>
  <c r="S255" i="1" s="1"/>
  <c r="N255" i="1"/>
  <c r="O255" i="1" s="1"/>
  <c r="E255" i="1"/>
  <c r="Q254" i="1"/>
  <c r="R254" i="1" s="1"/>
  <c r="S254" i="1" s="1"/>
  <c r="N254" i="1"/>
  <c r="P254" i="1" s="1"/>
  <c r="E254" i="1"/>
  <c r="R253" i="1"/>
  <c r="S253" i="1" s="1"/>
  <c r="Q253" i="1"/>
  <c r="N253" i="1"/>
  <c r="O253" i="1" s="1"/>
  <c r="E253" i="1"/>
  <c r="Q252" i="1"/>
  <c r="R252" i="1" s="1"/>
  <c r="S252" i="1" s="1"/>
  <c r="O252" i="1"/>
  <c r="N252" i="1"/>
  <c r="P252" i="1" s="1"/>
  <c r="E252" i="1"/>
  <c r="Q251" i="1"/>
  <c r="R251" i="1" s="1"/>
  <c r="S251" i="1" s="1"/>
  <c r="N251" i="1"/>
  <c r="O251" i="1" s="1"/>
  <c r="E251" i="1"/>
  <c r="Q250" i="1"/>
  <c r="R250" i="1" s="1"/>
  <c r="S250" i="1" s="1"/>
  <c r="O250" i="1"/>
  <c r="N250" i="1"/>
  <c r="P250" i="1" s="1"/>
  <c r="E250" i="1"/>
  <c r="Q249" i="1"/>
  <c r="R249" i="1" s="1"/>
  <c r="S249" i="1" s="1"/>
  <c r="N249" i="1"/>
  <c r="O249" i="1" s="1"/>
  <c r="E249" i="1"/>
  <c r="Q248" i="1"/>
  <c r="R248" i="1" s="1"/>
  <c r="S248" i="1" s="1"/>
  <c r="N248" i="1"/>
  <c r="O248" i="1" s="1"/>
  <c r="E248" i="1"/>
  <c r="Q247" i="1"/>
  <c r="R247" i="1" s="1"/>
  <c r="S247" i="1" s="1"/>
  <c r="N247" i="1"/>
  <c r="O247" i="1" s="1"/>
  <c r="E247" i="1"/>
  <c r="Q246" i="1"/>
  <c r="R246" i="1" s="1"/>
  <c r="S246" i="1" s="1"/>
  <c r="N246" i="1"/>
  <c r="P246" i="1" s="1"/>
  <c r="E246" i="1"/>
  <c r="Q245" i="1"/>
  <c r="R245" i="1" s="1"/>
  <c r="S245" i="1" s="1"/>
  <c r="N245" i="1"/>
  <c r="O245" i="1" s="1"/>
  <c r="E245" i="1"/>
  <c r="Q244" i="1"/>
  <c r="R244" i="1" s="1"/>
  <c r="S244" i="1" s="1"/>
  <c r="N244" i="1"/>
  <c r="P244" i="1" s="1"/>
  <c r="E244" i="1"/>
  <c r="Q243" i="1"/>
  <c r="R243" i="1" s="1"/>
  <c r="S243" i="1" s="1"/>
  <c r="N243" i="1"/>
  <c r="O243" i="1" s="1"/>
  <c r="E243" i="1"/>
  <c r="Q242" i="1"/>
  <c r="R242" i="1" s="1"/>
  <c r="S242" i="1" s="1"/>
  <c r="N242" i="1"/>
  <c r="O242" i="1" s="1"/>
  <c r="E242" i="1"/>
  <c r="Q241" i="1"/>
  <c r="R241" i="1" s="1"/>
  <c r="S241" i="1" s="1"/>
  <c r="N241" i="1"/>
  <c r="O241" i="1" s="1"/>
  <c r="E241" i="1"/>
  <c r="Q240" i="1"/>
  <c r="R240" i="1" s="1"/>
  <c r="S240" i="1" s="1"/>
  <c r="P240" i="1"/>
  <c r="O240" i="1"/>
  <c r="N240" i="1"/>
  <c r="E240" i="1"/>
  <c r="Q239" i="1"/>
  <c r="R239" i="1" s="1"/>
  <c r="S239" i="1" s="1"/>
  <c r="N239" i="1"/>
  <c r="O239" i="1" s="1"/>
  <c r="E239" i="1"/>
  <c r="Q238" i="1"/>
  <c r="R238" i="1" s="1"/>
  <c r="S238" i="1" s="1"/>
  <c r="N238" i="1"/>
  <c r="P238" i="1" s="1"/>
  <c r="E238" i="1"/>
  <c r="R237" i="1"/>
  <c r="S237" i="1" s="1"/>
  <c r="Q237" i="1"/>
  <c r="N237" i="1"/>
  <c r="O237" i="1" s="1"/>
  <c r="E237" i="1"/>
  <c r="Q236" i="1"/>
  <c r="R236" i="1" s="1"/>
  <c r="S236" i="1" s="1"/>
  <c r="P236" i="1"/>
  <c r="O236" i="1"/>
  <c r="N236" i="1"/>
  <c r="E236" i="1"/>
  <c r="Q235" i="1"/>
  <c r="R235" i="1" s="1"/>
  <c r="S235" i="1" s="1"/>
  <c r="N235" i="1"/>
  <c r="O235" i="1" s="1"/>
  <c r="E235" i="1"/>
  <c r="Q234" i="1"/>
  <c r="R234" i="1" s="1"/>
  <c r="S234" i="1" s="1"/>
  <c r="P234" i="1"/>
  <c r="O234" i="1"/>
  <c r="N234" i="1"/>
  <c r="E234" i="1"/>
  <c r="Q233" i="1"/>
  <c r="R233" i="1" s="1"/>
  <c r="S233" i="1" s="1"/>
  <c r="N233" i="1"/>
  <c r="O233" i="1" s="1"/>
  <c r="E233" i="1"/>
  <c r="Q232" i="1"/>
  <c r="R232" i="1" s="1"/>
  <c r="S232" i="1" s="1"/>
  <c r="N232" i="1"/>
  <c r="O232" i="1" s="1"/>
  <c r="E232" i="1"/>
  <c r="Q231" i="1"/>
  <c r="R231" i="1" s="1"/>
  <c r="S231" i="1" s="1"/>
  <c r="N231" i="1"/>
  <c r="O231" i="1" s="1"/>
  <c r="E231" i="1"/>
  <c r="Q230" i="1"/>
  <c r="R230" i="1" s="1"/>
  <c r="S230" i="1" s="1"/>
  <c r="P230" i="1"/>
  <c r="N230" i="1"/>
  <c r="O230" i="1" s="1"/>
  <c r="E230" i="1"/>
  <c r="Q229" i="1"/>
  <c r="R229" i="1" s="1"/>
  <c r="S229" i="1" s="1"/>
  <c r="N229" i="1"/>
  <c r="O229" i="1" s="1"/>
  <c r="E229" i="1"/>
  <c r="Q228" i="1"/>
  <c r="R228" i="1" s="1"/>
  <c r="S228" i="1" s="1"/>
  <c r="N228" i="1"/>
  <c r="P228" i="1" s="1"/>
  <c r="E228" i="1"/>
  <c r="Q227" i="1"/>
  <c r="R227" i="1" s="1"/>
  <c r="S227" i="1" s="1"/>
  <c r="N227" i="1"/>
  <c r="O227" i="1" s="1"/>
  <c r="E227" i="1"/>
  <c r="Q226" i="1"/>
  <c r="R226" i="1" s="1"/>
  <c r="S226" i="1" s="1"/>
  <c r="N226" i="1"/>
  <c r="O226" i="1" s="1"/>
  <c r="E226" i="1"/>
  <c r="Q225" i="1"/>
  <c r="R225" i="1" s="1"/>
  <c r="S225" i="1" s="1"/>
  <c r="N225" i="1"/>
  <c r="O225" i="1" s="1"/>
  <c r="E225" i="1"/>
  <c r="Q224" i="1"/>
  <c r="R224" i="1" s="1"/>
  <c r="S224" i="1" s="1"/>
  <c r="O224" i="1"/>
  <c r="N224" i="1"/>
  <c r="P224" i="1" s="1"/>
  <c r="E224" i="1"/>
  <c r="Q223" i="1"/>
  <c r="R223" i="1" s="1"/>
  <c r="S223" i="1" s="1"/>
  <c r="N223" i="1"/>
  <c r="O223" i="1" s="1"/>
  <c r="E223" i="1"/>
  <c r="Q222" i="1"/>
  <c r="R222" i="1" s="1"/>
  <c r="S222" i="1" s="1"/>
  <c r="N222" i="1"/>
  <c r="P222" i="1" s="1"/>
  <c r="E222" i="1"/>
  <c r="R221" i="1"/>
  <c r="S221" i="1" s="1"/>
  <c r="Q221" i="1"/>
  <c r="N221" i="1"/>
  <c r="O221" i="1" s="1"/>
  <c r="E221" i="1"/>
  <c r="Q220" i="1"/>
  <c r="R220" i="1" s="1"/>
  <c r="S220" i="1" s="1"/>
  <c r="O220" i="1"/>
  <c r="N220" i="1"/>
  <c r="P220" i="1" s="1"/>
  <c r="E220" i="1"/>
  <c r="Q219" i="1"/>
  <c r="R219" i="1" s="1"/>
  <c r="S219" i="1" s="1"/>
  <c r="N219" i="1"/>
  <c r="O219" i="1" s="1"/>
  <c r="E219" i="1"/>
  <c r="Q218" i="1"/>
  <c r="R218" i="1" s="1"/>
  <c r="S218" i="1" s="1"/>
  <c r="O218" i="1"/>
  <c r="N218" i="1"/>
  <c r="P218" i="1" s="1"/>
  <c r="E218" i="1"/>
  <c r="Q217" i="1"/>
  <c r="R217" i="1" s="1"/>
  <c r="S217" i="1" s="1"/>
  <c r="N217" i="1"/>
  <c r="O217" i="1" s="1"/>
  <c r="E217" i="1"/>
  <c r="Q216" i="1"/>
  <c r="R216" i="1" s="1"/>
  <c r="S216" i="1" s="1"/>
  <c r="N216" i="1"/>
  <c r="O216" i="1" s="1"/>
  <c r="E216" i="1"/>
  <c r="Q215" i="1"/>
  <c r="R215" i="1" s="1"/>
  <c r="S215" i="1" s="1"/>
  <c r="N215" i="1"/>
  <c r="O215" i="1" s="1"/>
  <c r="E215" i="1"/>
  <c r="Q214" i="1"/>
  <c r="R214" i="1" s="1"/>
  <c r="S214" i="1" s="1"/>
  <c r="N214" i="1"/>
  <c r="P214" i="1" s="1"/>
  <c r="E214" i="1"/>
  <c r="Q213" i="1"/>
  <c r="R213" i="1" s="1"/>
  <c r="S213" i="1" s="1"/>
  <c r="N213" i="1"/>
  <c r="O213" i="1" s="1"/>
  <c r="E213" i="1"/>
  <c r="Q212" i="1"/>
  <c r="R212" i="1" s="1"/>
  <c r="S212" i="1" s="1"/>
  <c r="N212" i="1"/>
  <c r="P212" i="1" s="1"/>
  <c r="E212" i="1"/>
  <c r="Q211" i="1"/>
  <c r="R211" i="1" s="1"/>
  <c r="S211" i="1" s="1"/>
  <c r="N211" i="1"/>
  <c r="O211" i="1" s="1"/>
  <c r="E211" i="1"/>
  <c r="Q210" i="1"/>
  <c r="R210" i="1" s="1"/>
  <c r="S210" i="1" s="1"/>
  <c r="N210" i="1"/>
  <c r="O210" i="1" s="1"/>
  <c r="E210" i="1"/>
  <c r="Q209" i="1"/>
  <c r="R209" i="1" s="1"/>
  <c r="S209" i="1" s="1"/>
  <c r="N209" i="1"/>
  <c r="O209" i="1" s="1"/>
  <c r="E209" i="1"/>
  <c r="Q208" i="1"/>
  <c r="R208" i="1" s="1"/>
  <c r="S208" i="1" s="1"/>
  <c r="P208" i="1"/>
  <c r="O208" i="1"/>
  <c r="N208" i="1"/>
  <c r="E208" i="1"/>
  <c r="Q207" i="1"/>
  <c r="R207" i="1" s="1"/>
  <c r="S207" i="1" s="1"/>
  <c r="N207" i="1"/>
  <c r="O207" i="1" s="1"/>
  <c r="E207" i="1"/>
  <c r="Q206" i="1"/>
  <c r="R206" i="1" s="1"/>
  <c r="S206" i="1" s="1"/>
  <c r="N206" i="1"/>
  <c r="P206" i="1" s="1"/>
  <c r="E206" i="1"/>
  <c r="R205" i="1"/>
  <c r="S205" i="1" s="1"/>
  <c r="Q205" i="1"/>
  <c r="N205" i="1"/>
  <c r="O205" i="1" s="1"/>
  <c r="E205" i="1"/>
  <c r="Q204" i="1"/>
  <c r="R204" i="1" s="1"/>
  <c r="S204" i="1" s="1"/>
  <c r="P204" i="1"/>
  <c r="O204" i="1"/>
  <c r="N204" i="1"/>
  <c r="E204" i="1"/>
  <c r="Q203" i="1"/>
  <c r="R203" i="1" s="1"/>
  <c r="S203" i="1" s="1"/>
  <c r="N203" i="1"/>
  <c r="O203" i="1" s="1"/>
  <c r="E203" i="1"/>
  <c r="Q202" i="1"/>
  <c r="R202" i="1" s="1"/>
  <c r="S202" i="1" s="1"/>
  <c r="P202" i="1"/>
  <c r="O202" i="1"/>
  <c r="N202" i="1"/>
  <c r="E202" i="1"/>
  <c r="Q201" i="1"/>
  <c r="R201" i="1" s="1"/>
  <c r="S201" i="1" s="1"/>
  <c r="N201" i="1"/>
  <c r="O201" i="1" s="1"/>
  <c r="E201" i="1"/>
  <c r="Q200" i="1"/>
  <c r="R200" i="1" s="1"/>
  <c r="S200" i="1" s="1"/>
  <c r="N200" i="1"/>
  <c r="O200" i="1" s="1"/>
  <c r="E200" i="1"/>
  <c r="Q199" i="1"/>
  <c r="R199" i="1" s="1"/>
  <c r="S199" i="1" s="1"/>
  <c r="N199" i="1"/>
  <c r="O199" i="1" s="1"/>
  <c r="E199" i="1"/>
  <c r="Q198" i="1"/>
  <c r="R198" i="1" s="1"/>
  <c r="S198" i="1" s="1"/>
  <c r="P198" i="1"/>
  <c r="N198" i="1"/>
  <c r="O198" i="1" s="1"/>
  <c r="E198" i="1"/>
  <c r="Q197" i="1"/>
  <c r="R197" i="1" s="1"/>
  <c r="S197" i="1" s="1"/>
  <c r="N197" i="1"/>
  <c r="O197" i="1" s="1"/>
  <c r="E197" i="1"/>
  <c r="Q196" i="1"/>
  <c r="R196" i="1" s="1"/>
  <c r="S196" i="1" s="1"/>
  <c r="N196" i="1"/>
  <c r="P196" i="1" s="1"/>
  <c r="E196" i="1"/>
  <c r="Q195" i="1"/>
  <c r="R195" i="1" s="1"/>
  <c r="S195" i="1" s="1"/>
  <c r="N195" i="1"/>
  <c r="O195" i="1" s="1"/>
  <c r="E195" i="1"/>
  <c r="Q194" i="1"/>
  <c r="R194" i="1" s="1"/>
  <c r="S194" i="1" s="1"/>
  <c r="N194" i="1"/>
  <c r="E194" i="1"/>
  <c r="Q193" i="1"/>
  <c r="R193" i="1" s="1"/>
  <c r="S193" i="1" s="1"/>
  <c r="N193" i="1"/>
  <c r="O193" i="1" s="1"/>
  <c r="E193" i="1"/>
  <c r="Q192" i="1"/>
  <c r="R192" i="1" s="1"/>
  <c r="S192" i="1" s="1"/>
  <c r="O192" i="1"/>
  <c r="N192" i="1"/>
  <c r="P192" i="1" s="1"/>
  <c r="E192" i="1"/>
  <c r="Q191" i="1"/>
  <c r="R191" i="1" s="1"/>
  <c r="S191" i="1" s="1"/>
  <c r="N191" i="1"/>
  <c r="O191" i="1" s="1"/>
  <c r="E191" i="1"/>
  <c r="Q190" i="1"/>
  <c r="R190" i="1" s="1"/>
  <c r="S190" i="1" s="1"/>
  <c r="N190" i="1"/>
  <c r="P190" i="1" s="1"/>
  <c r="E190" i="1"/>
  <c r="R189" i="1"/>
  <c r="S189" i="1" s="1"/>
  <c r="Q189" i="1"/>
  <c r="N189" i="1"/>
  <c r="E189" i="1"/>
  <c r="Q188" i="1"/>
  <c r="R188" i="1" s="1"/>
  <c r="S188" i="1" s="1"/>
  <c r="O188" i="1"/>
  <c r="N188" i="1"/>
  <c r="P188" i="1" s="1"/>
  <c r="E188" i="1"/>
  <c r="Q187" i="1"/>
  <c r="R187" i="1" s="1"/>
  <c r="S187" i="1" s="1"/>
  <c r="N187" i="1"/>
  <c r="O187" i="1" s="1"/>
  <c r="E187" i="1"/>
  <c r="Q186" i="1"/>
  <c r="R186" i="1" s="1"/>
  <c r="S186" i="1" s="1"/>
  <c r="O186" i="1"/>
  <c r="N186" i="1"/>
  <c r="P186" i="1" s="1"/>
  <c r="E186" i="1"/>
  <c r="Q185" i="1"/>
  <c r="R185" i="1" s="1"/>
  <c r="S185" i="1" s="1"/>
  <c r="N185" i="1"/>
  <c r="O185" i="1" s="1"/>
  <c r="E185" i="1"/>
  <c r="Q184" i="1"/>
  <c r="R184" i="1" s="1"/>
  <c r="S184" i="1" s="1"/>
  <c r="N184" i="1"/>
  <c r="E184" i="1"/>
  <c r="Q183" i="1"/>
  <c r="R183" i="1" s="1"/>
  <c r="S183" i="1" s="1"/>
  <c r="N183" i="1"/>
  <c r="O183" i="1" s="1"/>
  <c r="E183" i="1"/>
  <c r="Q182" i="1"/>
  <c r="R182" i="1" s="1"/>
  <c r="S182" i="1" s="1"/>
  <c r="N182" i="1"/>
  <c r="E182" i="1"/>
  <c r="Q181" i="1"/>
  <c r="R181" i="1" s="1"/>
  <c r="S181" i="1" s="1"/>
  <c r="N181" i="1"/>
  <c r="O181" i="1" s="1"/>
  <c r="E181" i="1"/>
  <c r="Q180" i="1"/>
  <c r="R180" i="1" s="1"/>
  <c r="S180" i="1" s="1"/>
  <c r="P180" i="1"/>
  <c r="O180" i="1"/>
  <c r="N180" i="1"/>
  <c r="E180" i="1"/>
  <c r="Q179" i="1"/>
  <c r="R179" i="1" s="1"/>
  <c r="S179" i="1" s="1"/>
  <c r="N179" i="1"/>
  <c r="O179" i="1" s="1"/>
  <c r="E179" i="1"/>
  <c r="Q178" i="1"/>
  <c r="R178" i="1" s="1"/>
  <c r="S178" i="1" s="1"/>
  <c r="O178" i="1"/>
  <c r="N178" i="1"/>
  <c r="P178" i="1" s="1"/>
  <c r="E178" i="1"/>
  <c r="Q177" i="1"/>
  <c r="R177" i="1" s="1"/>
  <c r="S177" i="1" s="1"/>
  <c r="N177" i="1"/>
  <c r="O177" i="1" s="1"/>
  <c r="E177" i="1"/>
  <c r="Q176" i="1"/>
  <c r="R176" i="1" s="1"/>
  <c r="S176" i="1" s="1"/>
  <c r="O176" i="1"/>
  <c r="N176" i="1"/>
  <c r="P176" i="1" s="1"/>
  <c r="E176" i="1"/>
  <c r="Q175" i="1"/>
  <c r="R175" i="1" s="1"/>
  <c r="S175" i="1" s="1"/>
  <c r="N175" i="1"/>
  <c r="O175" i="1" s="1"/>
  <c r="E175" i="1"/>
  <c r="Q174" i="1"/>
  <c r="R174" i="1" s="1"/>
  <c r="S174" i="1" s="1"/>
  <c r="N174" i="1"/>
  <c r="P174" i="1" s="1"/>
  <c r="E174" i="1"/>
  <c r="Q173" i="1"/>
  <c r="R173" i="1" s="1"/>
  <c r="S173" i="1" s="1"/>
  <c r="P173" i="1"/>
  <c r="N173" i="1"/>
  <c r="O173" i="1" s="1"/>
  <c r="E173" i="1"/>
  <c r="Q172" i="1"/>
  <c r="R172" i="1" s="1"/>
  <c r="S172" i="1" s="1"/>
  <c r="P172" i="1"/>
  <c r="N172" i="1"/>
  <c r="O172" i="1" s="1"/>
  <c r="E172" i="1"/>
  <c r="R171" i="1"/>
  <c r="S171" i="1" s="1"/>
  <c r="Q171" i="1"/>
  <c r="N171" i="1"/>
  <c r="E171" i="1"/>
  <c r="Q170" i="1"/>
  <c r="R170" i="1" s="1"/>
  <c r="S170" i="1" s="1"/>
  <c r="N170" i="1"/>
  <c r="P170" i="1" s="1"/>
  <c r="E170" i="1"/>
  <c r="Q169" i="1"/>
  <c r="R169" i="1" s="1"/>
  <c r="S169" i="1" s="1"/>
  <c r="N169" i="1"/>
  <c r="E169" i="1"/>
  <c r="Q168" i="1"/>
  <c r="R168" i="1" s="1"/>
  <c r="S168" i="1" s="1"/>
  <c r="N168" i="1"/>
  <c r="P168" i="1" s="1"/>
  <c r="E168" i="1"/>
  <c r="Q167" i="1"/>
  <c r="R167" i="1" s="1"/>
  <c r="S167" i="1" s="1"/>
  <c r="N167" i="1"/>
  <c r="O167" i="1" s="1"/>
  <c r="E167" i="1"/>
  <c r="Q166" i="1"/>
  <c r="R166" i="1" s="1"/>
  <c r="S166" i="1" s="1"/>
  <c r="N166" i="1"/>
  <c r="P166" i="1" s="1"/>
  <c r="E166" i="1"/>
  <c r="R165" i="1"/>
  <c r="S165" i="1" s="1"/>
  <c r="Q165" i="1"/>
  <c r="N165" i="1"/>
  <c r="E165" i="1"/>
  <c r="Q164" i="1"/>
  <c r="R164" i="1" s="1"/>
  <c r="S164" i="1" s="1"/>
  <c r="N164" i="1"/>
  <c r="P164" i="1" s="1"/>
  <c r="E164" i="1"/>
  <c r="Q163" i="1"/>
  <c r="R163" i="1" s="1"/>
  <c r="S163" i="1" s="1"/>
  <c r="N163" i="1"/>
  <c r="O163" i="1" s="1"/>
  <c r="E163" i="1"/>
  <c r="Q162" i="1"/>
  <c r="R162" i="1" s="1"/>
  <c r="S162" i="1" s="1"/>
  <c r="O162" i="1"/>
  <c r="N162" i="1"/>
  <c r="P162" i="1" s="1"/>
  <c r="E162" i="1"/>
  <c r="Q161" i="1"/>
  <c r="R161" i="1" s="1"/>
  <c r="S161" i="1" s="1"/>
  <c r="P161" i="1"/>
  <c r="N161" i="1"/>
  <c r="O161" i="1" s="1"/>
  <c r="E161" i="1"/>
  <c r="R160" i="1"/>
  <c r="S160" i="1" s="1"/>
  <c r="Q160" i="1"/>
  <c r="N160" i="1"/>
  <c r="E160" i="1"/>
  <c r="Q159" i="1"/>
  <c r="R159" i="1" s="1"/>
  <c r="S159" i="1" s="1"/>
  <c r="N159" i="1"/>
  <c r="E159" i="1"/>
  <c r="Q158" i="1"/>
  <c r="R158" i="1" s="1"/>
  <c r="S158" i="1" s="1"/>
  <c r="N158" i="1"/>
  <c r="O158" i="1" s="1"/>
  <c r="E158" i="1"/>
  <c r="Q157" i="1"/>
  <c r="R157" i="1" s="1"/>
  <c r="S157" i="1" s="1"/>
  <c r="O157" i="1"/>
  <c r="N157" i="1"/>
  <c r="P157" i="1" s="1"/>
  <c r="E157" i="1"/>
  <c r="Q156" i="1"/>
  <c r="R156" i="1" s="1"/>
  <c r="S156" i="1" s="1"/>
  <c r="P156" i="1"/>
  <c r="N156" i="1"/>
  <c r="O156" i="1" s="1"/>
  <c r="E156" i="1"/>
  <c r="Q155" i="1"/>
  <c r="R155" i="1" s="1"/>
  <c r="S155" i="1" s="1"/>
  <c r="O155" i="1"/>
  <c r="N155" i="1"/>
  <c r="P155" i="1" s="1"/>
  <c r="E155" i="1"/>
  <c r="Q154" i="1"/>
  <c r="R154" i="1" s="1"/>
  <c r="S154" i="1" s="1"/>
  <c r="N154" i="1"/>
  <c r="O154" i="1" s="1"/>
  <c r="E154" i="1"/>
  <c r="Q153" i="1"/>
  <c r="R153" i="1" s="1"/>
  <c r="S153" i="1" s="1"/>
  <c r="N153" i="1"/>
  <c r="O153" i="1" s="1"/>
  <c r="E153" i="1"/>
  <c r="R152" i="1"/>
  <c r="S152" i="1" s="1"/>
  <c r="Q152" i="1"/>
  <c r="N152" i="1"/>
  <c r="E152" i="1"/>
  <c r="Q151" i="1"/>
  <c r="R151" i="1" s="1"/>
  <c r="S151" i="1" s="1"/>
  <c r="N151" i="1"/>
  <c r="E151" i="1"/>
  <c r="Q150" i="1"/>
  <c r="R150" i="1" s="1"/>
  <c r="S150" i="1" s="1"/>
  <c r="N150" i="1"/>
  <c r="O150" i="1" s="1"/>
  <c r="E150" i="1"/>
  <c r="Q149" i="1"/>
  <c r="R149" i="1" s="1"/>
  <c r="S149" i="1" s="1"/>
  <c r="O149" i="1"/>
  <c r="N149" i="1"/>
  <c r="P149" i="1" s="1"/>
  <c r="E149" i="1"/>
  <c r="Q148" i="1"/>
  <c r="R148" i="1" s="1"/>
  <c r="S148" i="1" s="1"/>
  <c r="P148" i="1"/>
  <c r="N148" i="1"/>
  <c r="O148" i="1" s="1"/>
  <c r="E148" i="1"/>
  <c r="Q147" i="1"/>
  <c r="R147" i="1" s="1"/>
  <c r="S147" i="1" s="1"/>
  <c r="O147" i="1"/>
  <c r="N147" i="1"/>
  <c r="P147" i="1" s="1"/>
  <c r="E147" i="1"/>
  <c r="Q146" i="1"/>
  <c r="R146" i="1" s="1"/>
  <c r="S146" i="1" s="1"/>
  <c r="N146" i="1"/>
  <c r="O146" i="1" s="1"/>
  <c r="E146" i="1"/>
  <c r="Q145" i="1"/>
  <c r="R145" i="1" s="1"/>
  <c r="S145" i="1" s="1"/>
  <c r="N145" i="1"/>
  <c r="O145" i="1" s="1"/>
  <c r="E145" i="1"/>
  <c r="R144" i="1"/>
  <c r="S144" i="1" s="1"/>
  <c r="Q144" i="1"/>
  <c r="N144" i="1"/>
  <c r="E144" i="1"/>
  <c r="Q143" i="1"/>
  <c r="R143" i="1" s="1"/>
  <c r="S143" i="1" s="1"/>
  <c r="N143" i="1"/>
  <c r="P143" i="1" s="1"/>
  <c r="E143" i="1"/>
  <c r="R142" i="1"/>
  <c r="S142" i="1" s="1"/>
  <c r="Q142" i="1"/>
  <c r="N142" i="1"/>
  <c r="O142" i="1" s="1"/>
  <c r="E142" i="1"/>
  <c r="Q141" i="1"/>
  <c r="R141" i="1" s="1"/>
  <c r="S141" i="1" s="1"/>
  <c r="N141" i="1"/>
  <c r="P141" i="1" s="1"/>
  <c r="E141" i="1"/>
  <c r="Q140" i="1"/>
  <c r="R140" i="1" s="1"/>
  <c r="S140" i="1" s="1"/>
  <c r="P140" i="1"/>
  <c r="N140" i="1"/>
  <c r="O140" i="1" s="1"/>
  <c r="E140" i="1"/>
  <c r="Q139" i="1"/>
  <c r="R139" i="1" s="1"/>
  <c r="S139" i="1" s="1"/>
  <c r="O139" i="1"/>
  <c r="N139" i="1"/>
  <c r="P139" i="1" s="1"/>
  <c r="E139" i="1"/>
  <c r="Q138" i="1"/>
  <c r="R138" i="1" s="1"/>
  <c r="S138" i="1" s="1"/>
  <c r="N138" i="1"/>
  <c r="O138" i="1" s="1"/>
  <c r="E138" i="1"/>
  <c r="Q137" i="1"/>
  <c r="R137" i="1" s="1"/>
  <c r="S137" i="1" s="1"/>
  <c r="P137" i="1"/>
  <c r="O137" i="1"/>
  <c r="N137" i="1"/>
  <c r="E137" i="1"/>
  <c r="R136" i="1"/>
  <c r="S136" i="1" s="1"/>
  <c r="Q136" i="1"/>
  <c r="N136" i="1"/>
  <c r="O136" i="1" s="1"/>
  <c r="E136" i="1"/>
  <c r="Q135" i="1"/>
  <c r="R135" i="1" s="1"/>
  <c r="S135" i="1" s="1"/>
  <c r="N135" i="1"/>
  <c r="P135" i="1" s="1"/>
  <c r="E135" i="1"/>
  <c r="Q134" i="1"/>
  <c r="R134" i="1" s="1"/>
  <c r="S134" i="1" s="1"/>
  <c r="N134" i="1"/>
  <c r="O134" i="1" s="1"/>
  <c r="E134" i="1"/>
  <c r="Q133" i="1"/>
  <c r="R133" i="1" s="1"/>
  <c r="S133" i="1" s="1"/>
  <c r="N133" i="1"/>
  <c r="P133" i="1" s="1"/>
  <c r="E133" i="1"/>
  <c r="Q132" i="1"/>
  <c r="R132" i="1" s="1"/>
  <c r="S132" i="1" s="1"/>
  <c r="N132" i="1"/>
  <c r="O132" i="1" s="1"/>
  <c r="E132" i="1"/>
  <c r="Q131" i="1"/>
  <c r="R131" i="1" s="1"/>
  <c r="S131" i="1" s="1"/>
  <c r="N131" i="1"/>
  <c r="P131" i="1" s="1"/>
  <c r="E131" i="1"/>
  <c r="Q130" i="1"/>
  <c r="R130" i="1" s="1"/>
  <c r="S130" i="1" s="1"/>
  <c r="N130" i="1"/>
  <c r="O130" i="1" s="1"/>
  <c r="E130" i="1"/>
  <c r="Q129" i="1"/>
  <c r="R129" i="1" s="1"/>
  <c r="S129" i="1" s="1"/>
  <c r="P129" i="1"/>
  <c r="N129" i="1"/>
  <c r="O129" i="1" s="1"/>
  <c r="E129" i="1"/>
  <c r="R128" i="1"/>
  <c r="S128" i="1" s="1"/>
  <c r="Q128" i="1"/>
  <c r="N128" i="1"/>
  <c r="O128" i="1" s="1"/>
  <c r="E128" i="1"/>
  <c r="Q127" i="1"/>
  <c r="R127" i="1" s="1"/>
  <c r="S127" i="1" s="1"/>
  <c r="N127" i="1"/>
  <c r="P127" i="1" s="1"/>
  <c r="E127" i="1"/>
  <c r="Q126" i="1"/>
  <c r="R126" i="1" s="1"/>
  <c r="S126" i="1" s="1"/>
  <c r="N126" i="1"/>
  <c r="O126" i="1" s="1"/>
  <c r="E126" i="1"/>
  <c r="Q125" i="1"/>
  <c r="R125" i="1" s="1"/>
  <c r="S125" i="1" s="1"/>
  <c r="N125" i="1"/>
  <c r="P125" i="1" s="1"/>
  <c r="E125" i="1"/>
  <c r="Q124" i="1"/>
  <c r="R124" i="1" s="1"/>
  <c r="S124" i="1" s="1"/>
  <c r="N124" i="1"/>
  <c r="O124" i="1" s="1"/>
  <c r="E124" i="1"/>
  <c r="Q123" i="1"/>
  <c r="R123" i="1" s="1"/>
  <c r="S123" i="1" s="1"/>
  <c r="N123" i="1"/>
  <c r="P123" i="1" s="1"/>
  <c r="E123" i="1"/>
  <c r="Q122" i="1"/>
  <c r="R122" i="1" s="1"/>
  <c r="S122" i="1" s="1"/>
  <c r="N122" i="1"/>
  <c r="O122" i="1" s="1"/>
  <c r="E122" i="1"/>
  <c r="Q121" i="1"/>
  <c r="R121" i="1" s="1"/>
  <c r="S121" i="1" s="1"/>
  <c r="P121" i="1"/>
  <c r="N121" i="1"/>
  <c r="O121" i="1" s="1"/>
  <c r="E121" i="1"/>
  <c r="R120" i="1"/>
  <c r="S120" i="1" s="1"/>
  <c r="Q120" i="1"/>
  <c r="N120" i="1"/>
  <c r="O120" i="1" s="1"/>
  <c r="E120" i="1"/>
  <c r="Q119" i="1"/>
  <c r="R119" i="1" s="1"/>
  <c r="S119" i="1" s="1"/>
  <c r="N119" i="1"/>
  <c r="P119" i="1" s="1"/>
  <c r="E119" i="1"/>
  <c r="Q118" i="1"/>
  <c r="R118" i="1" s="1"/>
  <c r="S118" i="1" s="1"/>
  <c r="N118" i="1"/>
  <c r="O118" i="1" s="1"/>
  <c r="E118" i="1"/>
  <c r="Q117" i="1"/>
  <c r="R117" i="1" s="1"/>
  <c r="S117" i="1" s="1"/>
  <c r="N117" i="1"/>
  <c r="P117" i="1" s="1"/>
  <c r="E117" i="1"/>
  <c r="R116" i="1"/>
  <c r="S116" i="1" s="1"/>
  <c r="Q116" i="1"/>
  <c r="P116" i="1"/>
  <c r="N116" i="1"/>
  <c r="O116" i="1" s="1"/>
  <c r="E116" i="1"/>
  <c r="Q115" i="1"/>
  <c r="R115" i="1" s="1"/>
  <c r="S115" i="1" s="1"/>
  <c r="O115" i="1"/>
  <c r="N115" i="1"/>
  <c r="P115" i="1" s="1"/>
  <c r="E115" i="1"/>
  <c r="Q114" i="1"/>
  <c r="R114" i="1" s="1"/>
  <c r="S114" i="1" s="1"/>
  <c r="N114" i="1"/>
  <c r="O114" i="1" s="1"/>
  <c r="E114" i="1"/>
  <c r="Q113" i="1"/>
  <c r="R113" i="1" s="1"/>
  <c r="S113" i="1" s="1"/>
  <c r="P113" i="1"/>
  <c r="N113" i="1"/>
  <c r="O113" i="1" s="1"/>
  <c r="E113" i="1"/>
  <c r="R112" i="1"/>
  <c r="S112" i="1" s="1"/>
  <c r="Q112" i="1"/>
  <c r="P112" i="1"/>
  <c r="N112" i="1"/>
  <c r="O112" i="1" s="1"/>
  <c r="E112" i="1"/>
  <c r="Q111" i="1"/>
  <c r="R111" i="1" s="1"/>
  <c r="S111" i="1" s="1"/>
  <c r="O111" i="1"/>
  <c r="N111" i="1"/>
  <c r="P111" i="1" s="1"/>
  <c r="E111" i="1"/>
  <c r="Q110" i="1"/>
  <c r="R110" i="1" s="1"/>
  <c r="S110" i="1" s="1"/>
  <c r="N110" i="1"/>
  <c r="O110" i="1" s="1"/>
  <c r="E110" i="1"/>
  <c r="Q109" i="1"/>
  <c r="R109" i="1" s="1"/>
  <c r="S109" i="1" s="1"/>
  <c r="N109" i="1"/>
  <c r="P109" i="1" s="1"/>
  <c r="E109" i="1"/>
  <c r="Q108" i="1"/>
  <c r="R108" i="1" s="1"/>
  <c r="S108" i="1" s="1"/>
  <c r="P108" i="1"/>
  <c r="N108" i="1"/>
  <c r="O108" i="1" s="1"/>
  <c r="E108" i="1"/>
  <c r="Q107" i="1"/>
  <c r="R107" i="1" s="1"/>
  <c r="S107" i="1" s="1"/>
  <c r="O107" i="1"/>
  <c r="N107" i="1"/>
  <c r="P107" i="1" s="1"/>
  <c r="E107" i="1"/>
  <c r="Q106" i="1"/>
  <c r="R106" i="1" s="1"/>
  <c r="S106" i="1" s="1"/>
  <c r="N106" i="1"/>
  <c r="O106" i="1" s="1"/>
  <c r="E106" i="1"/>
  <c r="Q105" i="1"/>
  <c r="R105" i="1" s="1"/>
  <c r="S105" i="1" s="1"/>
  <c r="P105" i="1"/>
  <c r="N105" i="1"/>
  <c r="O105" i="1" s="1"/>
  <c r="E105" i="1"/>
  <c r="Q104" i="1"/>
  <c r="R104" i="1" s="1"/>
  <c r="S104" i="1" s="1"/>
  <c r="P104" i="1"/>
  <c r="N104" i="1"/>
  <c r="O104" i="1" s="1"/>
  <c r="E104" i="1"/>
  <c r="Q103" i="1"/>
  <c r="R103" i="1" s="1"/>
  <c r="S103" i="1" s="1"/>
  <c r="O103" i="1"/>
  <c r="N103" i="1"/>
  <c r="P103" i="1" s="1"/>
  <c r="E103" i="1"/>
  <c r="Q102" i="1"/>
  <c r="R102" i="1" s="1"/>
  <c r="S102" i="1" s="1"/>
  <c r="N102" i="1"/>
  <c r="O102" i="1" s="1"/>
  <c r="E102" i="1"/>
  <c r="Q101" i="1"/>
  <c r="R101" i="1" s="1"/>
  <c r="S101" i="1" s="1"/>
  <c r="N101" i="1"/>
  <c r="P101" i="1" s="1"/>
  <c r="E101" i="1"/>
  <c r="R100" i="1"/>
  <c r="S100" i="1" s="1"/>
  <c r="Q100" i="1"/>
  <c r="P100" i="1"/>
  <c r="N100" i="1"/>
  <c r="O100" i="1" s="1"/>
  <c r="E100" i="1"/>
  <c r="Q99" i="1"/>
  <c r="R99" i="1" s="1"/>
  <c r="S99" i="1" s="1"/>
  <c r="O99" i="1"/>
  <c r="N99" i="1"/>
  <c r="P99" i="1" s="1"/>
  <c r="E99" i="1"/>
  <c r="Q98" i="1"/>
  <c r="R98" i="1" s="1"/>
  <c r="S98" i="1" s="1"/>
  <c r="N98" i="1"/>
  <c r="O98" i="1" s="1"/>
  <c r="E98" i="1"/>
  <c r="Q97" i="1"/>
  <c r="R97" i="1" s="1"/>
  <c r="S97" i="1" s="1"/>
  <c r="N97" i="1"/>
  <c r="O97" i="1" s="1"/>
  <c r="E97" i="1"/>
  <c r="R96" i="1"/>
  <c r="S96" i="1" s="1"/>
  <c r="Q96" i="1"/>
  <c r="P96" i="1"/>
  <c r="N96" i="1"/>
  <c r="O96" i="1" s="1"/>
  <c r="E96" i="1"/>
  <c r="Q95" i="1"/>
  <c r="R95" i="1" s="1"/>
  <c r="S95" i="1" s="1"/>
  <c r="O95" i="1"/>
  <c r="N95" i="1"/>
  <c r="P95" i="1" s="1"/>
  <c r="E95" i="1"/>
  <c r="Q94" i="1"/>
  <c r="R94" i="1" s="1"/>
  <c r="S94" i="1" s="1"/>
  <c r="N94" i="1"/>
  <c r="O94" i="1" s="1"/>
  <c r="E94" i="1"/>
  <c r="Q93" i="1"/>
  <c r="R93" i="1" s="1"/>
  <c r="S93" i="1" s="1"/>
  <c r="N93" i="1"/>
  <c r="P93" i="1" s="1"/>
  <c r="E93" i="1"/>
  <c r="R92" i="1"/>
  <c r="S92" i="1" s="1"/>
  <c r="Q92" i="1"/>
  <c r="N92" i="1"/>
  <c r="O92" i="1" s="1"/>
  <c r="E92" i="1"/>
  <c r="Q91" i="1"/>
  <c r="R91" i="1" s="1"/>
  <c r="S91" i="1" s="1"/>
  <c r="N91" i="1"/>
  <c r="P91" i="1" s="1"/>
  <c r="E91" i="1"/>
  <c r="Q90" i="1"/>
  <c r="R90" i="1" s="1"/>
  <c r="S90" i="1" s="1"/>
  <c r="N90" i="1"/>
  <c r="O90" i="1" s="1"/>
  <c r="E90" i="1"/>
  <c r="Q89" i="1"/>
  <c r="R89" i="1" s="1"/>
  <c r="S89" i="1" s="1"/>
  <c r="P89" i="1"/>
  <c r="N89" i="1"/>
  <c r="O89" i="1" s="1"/>
  <c r="E89" i="1"/>
  <c r="R88" i="1"/>
  <c r="S88" i="1" s="1"/>
  <c r="Q88" i="1"/>
  <c r="N88" i="1"/>
  <c r="O88" i="1" s="1"/>
  <c r="E88" i="1"/>
  <c r="Q87" i="1"/>
  <c r="R87" i="1" s="1"/>
  <c r="S87" i="1" s="1"/>
  <c r="N87" i="1"/>
  <c r="P87" i="1" s="1"/>
  <c r="E87" i="1"/>
  <c r="Q86" i="1"/>
  <c r="R86" i="1" s="1"/>
  <c r="S86" i="1" s="1"/>
  <c r="N86" i="1"/>
  <c r="O86" i="1" s="1"/>
  <c r="E86" i="1"/>
  <c r="Q85" i="1"/>
  <c r="R85" i="1" s="1"/>
  <c r="S85" i="1" s="1"/>
  <c r="N85" i="1"/>
  <c r="P85" i="1" s="1"/>
  <c r="E85" i="1"/>
  <c r="R84" i="1"/>
  <c r="S84" i="1" s="1"/>
  <c r="Q84" i="1"/>
  <c r="P84" i="1"/>
  <c r="N84" i="1"/>
  <c r="O84" i="1" s="1"/>
  <c r="E84" i="1"/>
  <c r="Q83" i="1"/>
  <c r="R83" i="1" s="1"/>
  <c r="S83" i="1" s="1"/>
  <c r="O83" i="1"/>
  <c r="N83" i="1"/>
  <c r="P83" i="1" s="1"/>
  <c r="E83" i="1"/>
  <c r="Q82" i="1"/>
  <c r="R82" i="1" s="1"/>
  <c r="S82" i="1" s="1"/>
  <c r="N82" i="1"/>
  <c r="O82" i="1" s="1"/>
  <c r="E82" i="1"/>
  <c r="Q81" i="1"/>
  <c r="R81" i="1" s="1"/>
  <c r="S81" i="1" s="1"/>
  <c r="P81" i="1"/>
  <c r="N81" i="1"/>
  <c r="O81" i="1" s="1"/>
  <c r="E81" i="1"/>
  <c r="R80" i="1"/>
  <c r="S80" i="1" s="1"/>
  <c r="Q80" i="1"/>
  <c r="P80" i="1"/>
  <c r="N80" i="1"/>
  <c r="O80" i="1" s="1"/>
  <c r="E80" i="1"/>
  <c r="Q79" i="1"/>
  <c r="R79" i="1" s="1"/>
  <c r="S79" i="1" s="1"/>
  <c r="O79" i="1"/>
  <c r="N79" i="1"/>
  <c r="P79" i="1" s="1"/>
  <c r="E79" i="1"/>
  <c r="Q78" i="1"/>
  <c r="R78" i="1" s="1"/>
  <c r="S78" i="1" s="1"/>
  <c r="N78" i="1"/>
  <c r="O78" i="1" s="1"/>
  <c r="E78" i="1"/>
  <c r="Q77" i="1"/>
  <c r="R77" i="1" s="1"/>
  <c r="S77" i="1" s="1"/>
  <c r="N77" i="1"/>
  <c r="P77" i="1" s="1"/>
  <c r="E77" i="1"/>
  <c r="Q76" i="1"/>
  <c r="R76" i="1" s="1"/>
  <c r="S76" i="1" s="1"/>
  <c r="P76" i="1"/>
  <c r="N76" i="1"/>
  <c r="O76" i="1" s="1"/>
  <c r="E76" i="1"/>
  <c r="Q75" i="1"/>
  <c r="R75" i="1" s="1"/>
  <c r="S75" i="1" s="1"/>
  <c r="O75" i="1"/>
  <c r="N75" i="1"/>
  <c r="P75" i="1" s="1"/>
  <c r="E75" i="1"/>
  <c r="Q74" i="1"/>
  <c r="R74" i="1" s="1"/>
  <c r="S74" i="1" s="1"/>
  <c r="N74" i="1"/>
  <c r="O74" i="1" s="1"/>
  <c r="E74" i="1"/>
  <c r="Q73" i="1"/>
  <c r="R73" i="1" s="1"/>
  <c r="S73" i="1" s="1"/>
  <c r="P73" i="1"/>
  <c r="N73" i="1"/>
  <c r="O73" i="1" s="1"/>
  <c r="E73" i="1"/>
  <c r="Q72" i="1"/>
  <c r="R72" i="1" s="1"/>
  <c r="S72" i="1" s="1"/>
  <c r="P72" i="1"/>
  <c r="N72" i="1"/>
  <c r="O72" i="1" s="1"/>
  <c r="E72" i="1"/>
  <c r="Q71" i="1"/>
  <c r="R71" i="1" s="1"/>
  <c r="S71" i="1" s="1"/>
  <c r="O71" i="1"/>
  <c r="N71" i="1"/>
  <c r="P71" i="1" s="1"/>
  <c r="E71" i="1"/>
  <c r="Q70" i="1"/>
  <c r="R70" i="1" s="1"/>
  <c r="S70" i="1" s="1"/>
  <c r="N70" i="1"/>
  <c r="O70" i="1" s="1"/>
  <c r="E70" i="1"/>
  <c r="Q69" i="1"/>
  <c r="R69" i="1" s="1"/>
  <c r="S69" i="1" s="1"/>
  <c r="N69" i="1"/>
  <c r="P69" i="1" s="1"/>
  <c r="E69" i="1"/>
  <c r="R68" i="1"/>
  <c r="S68" i="1" s="1"/>
  <c r="Q68" i="1"/>
  <c r="P68" i="1"/>
  <c r="N68" i="1"/>
  <c r="O68" i="1" s="1"/>
  <c r="E68" i="1"/>
  <c r="Q67" i="1"/>
  <c r="R67" i="1" s="1"/>
  <c r="S67" i="1" s="1"/>
  <c r="O67" i="1"/>
  <c r="N67" i="1"/>
  <c r="P67" i="1" s="1"/>
  <c r="E67" i="1"/>
  <c r="Q66" i="1"/>
  <c r="R66" i="1" s="1"/>
  <c r="S66" i="1" s="1"/>
  <c r="N66" i="1"/>
  <c r="O66" i="1" s="1"/>
  <c r="E66" i="1"/>
  <c r="Q65" i="1"/>
  <c r="R65" i="1" s="1"/>
  <c r="S65" i="1" s="1"/>
  <c r="N65" i="1"/>
  <c r="O65" i="1" s="1"/>
  <c r="E65" i="1"/>
  <c r="R64" i="1"/>
  <c r="S64" i="1" s="1"/>
  <c r="Q64" i="1"/>
  <c r="P64" i="1"/>
  <c r="N64" i="1"/>
  <c r="O64" i="1" s="1"/>
  <c r="E64" i="1"/>
  <c r="Q63" i="1"/>
  <c r="R63" i="1" s="1"/>
  <c r="S63" i="1" s="1"/>
  <c r="O63" i="1"/>
  <c r="N63" i="1"/>
  <c r="P63" i="1" s="1"/>
  <c r="E63" i="1"/>
  <c r="Q62" i="1"/>
  <c r="R62" i="1" s="1"/>
  <c r="S62" i="1" s="1"/>
  <c r="N62" i="1"/>
  <c r="O62" i="1" s="1"/>
  <c r="E62" i="1"/>
  <c r="Q61" i="1"/>
  <c r="R61" i="1" s="1"/>
  <c r="S61" i="1" s="1"/>
  <c r="N61" i="1"/>
  <c r="P61" i="1" s="1"/>
  <c r="E61" i="1"/>
  <c r="R60" i="1"/>
  <c r="S60" i="1" s="1"/>
  <c r="Q60" i="1"/>
  <c r="N60" i="1"/>
  <c r="O60" i="1" s="1"/>
  <c r="E60" i="1"/>
  <c r="Q59" i="1"/>
  <c r="R59" i="1" s="1"/>
  <c r="S59" i="1" s="1"/>
  <c r="N59" i="1"/>
  <c r="P59" i="1" s="1"/>
  <c r="E59" i="1"/>
  <c r="Q58" i="1"/>
  <c r="R58" i="1" s="1"/>
  <c r="S58" i="1" s="1"/>
  <c r="N58" i="1"/>
  <c r="O58" i="1" s="1"/>
  <c r="E58" i="1"/>
  <c r="Q57" i="1"/>
  <c r="R57" i="1" s="1"/>
  <c r="S57" i="1" s="1"/>
  <c r="P57" i="1"/>
  <c r="N57" i="1"/>
  <c r="O57" i="1" s="1"/>
  <c r="E57" i="1"/>
  <c r="R56" i="1"/>
  <c r="S56" i="1" s="1"/>
  <c r="Q56" i="1"/>
  <c r="N56" i="1"/>
  <c r="O56" i="1" s="1"/>
  <c r="E56" i="1"/>
  <c r="Q55" i="1"/>
  <c r="R55" i="1" s="1"/>
  <c r="S55" i="1" s="1"/>
  <c r="N55" i="1"/>
  <c r="P55" i="1" s="1"/>
  <c r="E55" i="1"/>
  <c r="Q54" i="1"/>
  <c r="R54" i="1" s="1"/>
  <c r="S54" i="1" s="1"/>
  <c r="N54" i="1"/>
  <c r="O54" i="1" s="1"/>
  <c r="E54" i="1"/>
  <c r="Q53" i="1"/>
  <c r="R53" i="1" s="1"/>
  <c r="S53" i="1" s="1"/>
  <c r="N53" i="1"/>
  <c r="P53" i="1" s="1"/>
  <c r="E53" i="1"/>
  <c r="R52" i="1"/>
  <c r="S52" i="1" s="1"/>
  <c r="Q52" i="1"/>
  <c r="P52" i="1"/>
  <c r="N52" i="1"/>
  <c r="O52" i="1" s="1"/>
  <c r="E52" i="1"/>
  <c r="Q51" i="1"/>
  <c r="R51" i="1" s="1"/>
  <c r="S51" i="1" s="1"/>
  <c r="O51" i="1"/>
  <c r="N51" i="1"/>
  <c r="P51" i="1" s="1"/>
  <c r="E51" i="1"/>
  <c r="Q50" i="1"/>
  <c r="R50" i="1" s="1"/>
  <c r="S50" i="1" s="1"/>
  <c r="N50" i="1"/>
  <c r="O50" i="1" s="1"/>
  <c r="E50" i="1"/>
  <c r="Q49" i="1"/>
  <c r="R49" i="1" s="1"/>
  <c r="S49" i="1" s="1"/>
  <c r="P49" i="1"/>
  <c r="N49" i="1"/>
  <c r="O49" i="1" s="1"/>
  <c r="E49" i="1"/>
  <c r="R48" i="1"/>
  <c r="S48" i="1" s="1"/>
  <c r="Q48" i="1"/>
  <c r="P48" i="1"/>
  <c r="N48" i="1"/>
  <c r="O48" i="1" s="1"/>
  <c r="E48" i="1"/>
  <c r="Q47" i="1"/>
  <c r="R47" i="1" s="1"/>
  <c r="S47" i="1" s="1"/>
  <c r="O47" i="1"/>
  <c r="N47" i="1"/>
  <c r="P47" i="1" s="1"/>
  <c r="E47" i="1"/>
  <c r="Q46" i="1"/>
  <c r="R46" i="1" s="1"/>
  <c r="S46" i="1" s="1"/>
  <c r="N46" i="1"/>
  <c r="O46" i="1" s="1"/>
  <c r="E46" i="1"/>
  <c r="Q45" i="1"/>
  <c r="R45" i="1" s="1"/>
  <c r="S45" i="1" s="1"/>
  <c r="N45" i="1"/>
  <c r="P45" i="1" s="1"/>
  <c r="E45" i="1"/>
  <c r="Q44" i="1"/>
  <c r="R44" i="1" s="1"/>
  <c r="S44" i="1" s="1"/>
  <c r="P44" i="1"/>
  <c r="N44" i="1"/>
  <c r="O44" i="1" s="1"/>
  <c r="E44" i="1"/>
  <c r="Q43" i="1"/>
  <c r="R43" i="1" s="1"/>
  <c r="S43" i="1" s="1"/>
  <c r="O43" i="1"/>
  <c r="N43" i="1"/>
  <c r="P43" i="1" s="1"/>
  <c r="E43" i="1"/>
  <c r="Q42" i="1"/>
  <c r="R42" i="1" s="1"/>
  <c r="S42" i="1" s="1"/>
  <c r="N42" i="1"/>
  <c r="O42" i="1" s="1"/>
  <c r="E42" i="1"/>
  <c r="Q41" i="1"/>
  <c r="R41" i="1" s="1"/>
  <c r="S41" i="1" s="1"/>
  <c r="P41" i="1"/>
  <c r="N41" i="1"/>
  <c r="O41" i="1" s="1"/>
  <c r="E41" i="1"/>
  <c r="Q40" i="1"/>
  <c r="R40" i="1" s="1"/>
  <c r="S40" i="1" s="1"/>
  <c r="P40" i="1"/>
  <c r="N40" i="1"/>
  <c r="O40" i="1" s="1"/>
  <c r="E40" i="1"/>
  <c r="Q39" i="1"/>
  <c r="R39" i="1" s="1"/>
  <c r="S39" i="1" s="1"/>
  <c r="O39" i="1"/>
  <c r="N39" i="1"/>
  <c r="P39" i="1" s="1"/>
  <c r="E39" i="1"/>
  <c r="Q38" i="1"/>
  <c r="R38" i="1" s="1"/>
  <c r="S38" i="1" s="1"/>
  <c r="N38" i="1"/>
  <c r="O38" i="1" s="1"/>
  <c r="E38" i="1"/>
  <c r="Q37" i="1"/>
  <c r="R37" i="1" s="1"/>
  <c r="S37" i="1" s="1"/>
  <c r="N37" i="1"/>
  <c r="P37" i="1" s="1"/>
  <c r="E37" i="1"/>
  <c r="R36" i="1"/>
  <c r="S36" i="1" s="1"/>
  <c r="Q36" i="1"/>
  <c r="P36" i="1"/>
  <c r="N36" i="1"/>
  <c r="O36" i="1" s="1"/>
  <c r="E36" i="1"/>
  <c r="Q35" i="1"/>
  <c r="R35" i="1" s="1"/>
  <c r="S35" i="1" s="1"/>
  <c r="O35" i="1"/>
  <c r="N35" i="1"/>
  <c r="P35" i="1" s="1"/>
  <c r="E35" i="1"/>
  <c r="Q34" i="1"/>
  <c r="R34" i="1" s="1"/>
  <c r="S34" i="1" s="1"/>
  <c r="N34" i="1"/>
  <c r="O34" i="1" s="1"/>
  <c r="E34" i="1"/>
  <c r="Q33" i="1"/>
  <c r="R33" i="1" s="1"/>
  <c r="S33" i="1" s="1"/>
  <c r="N33" i="1"/>
  <c r="P33" i="1" s="1"/>
  <c r="E33" i="1"/>
  <c r="Q32" i="1"/>
  <c r="R32" i="1" s="1"/>
  <c r="S32" i="1" s="1"/>
  <c r="N32" i="1"/>
  <c r="P32" i="1" s="1"/>
  <c r="E32" i="1"/>
  <c r="Q31" i="1"/>
  <c r="R31" i="1" s="1"/>
  <c r="S31" i="1" s="1"/>
  <c r="O31" i="1"/>
  <c r="N31" i="1"/>
  <c r="P31" i="1" s="1"/>
  <c r="E31" i="1"/>
  <c r="Q30" i="1"/>
  <c r="R30" i="1" s="1"/>
  <c r="S30" i="1" s="1"/>
  <c r="N30" i="1"/>
  <c r="O30" i="1" s="1"/>
  <c r="E30" i="1"/>
  <c r="Q29" i="1"/>
  <c r="R29" i="1" s="1"/>
  <c r="S29" i="1" s="1"/>
  <c r="O29" i="1"/>
  <c r="N29" i="1"/>
  <c r="P29" i="1" s="1"/>
  <c r="E29" i="1"/>
  <c r="Q28" i="1"/>
  <c r="R28" i="1" s="1"/>
  <c r="S28" i="1" s="1"/>
  <c r="N28" i="1"/>
  <c r="P28" i="1" s="1"/>
  <c r="E28" i="1"/>
  <c r="Q27" i="1"/>
  <c r="R27" i="1" s="1"/>
  <c r="S27" i="1" s="1"/>
  <c r="O27" i="1"/>
  <c r="N27" i="1"/>
  <c r="P27" i="1" s="1"/>
  <c r="E27" i="1"/>
  <c r="Q26" i="1"/>
  <c r="R26" i="1" s="1"/>
  <c r="S26" i="1" s="1"/>
  <c r="N26" i="1"/>
  <c r="O26" i="1" s="1"/>
  <c r="E26" i="1"/>
  <c r="Q25" i="1"/>
  <c r="R25" i="1" s="1"/>
  <c r="S25" i="1" s="1"/>
  <c r="N25" i="1"/>
  <c r="P25" i="1" s="1"/>
  <c r="E25" i="1"/>
  <c r="Q24" i="1"/>
  <c r="R24" i="1" s="1"/>
  <c r="S24" i="1" s="1"/>
  <c r="N24" i="1"/>
  <c r="P24" i="1" s="1"/>
  <c r="E24" i="1"/>
  <c r="Q23" i="1"/>
  <c r="R23" i="1" s="1"/>
  <c r="S23" i="1" s="1"/>
  <c r="O23" i="1"/>
  <c r="N23" i="1"/>
  <c r="P23" i="1" s="1"/>
  <c r="E23" i="1"/>
  <c r="Q22" i="1"/>
  <c r="R22" i="1" s="1"/>
  <c r="S22" i="1" s="1"/>
  <c r="N22" i="1"/>
  <c r="O22" i="1" s="1"/>
  <c r="E22" i="1"/>
  <c r="Q21" i="1"/>
  <c r="R21" i="1" s="1"/>
  <c r="S21" i="1" s="1"/>
  <c r="O21" i="1"/>
  <c r="N21" i="1"/>
  <c r="P21" i="1" s="1"/>
  <c r="E21" i="1"/>
  <c r="Q20" i="1"/>
  <c r="R20" i="1" s="1"/>
  <c r="S20" i="1" s="1"/>
  <c r="N20" i="1"/>
  <c r="P20" i="1" s="1"/>
  <c r="E20" i="1"/>
  <c r="Q19" i="1"/>
  <c r="R19" i="1" s="1"/>
  <c r="S19" i="1" s="1"/>
  <c r="N19" i="1"/>
  <c r="P19" i="1" s="1"/>
  <c r="E19" i="1"/>
  <c r="Q18" i="1"/>
  <c r="R18" i="1" s="1"/>
  <c r="S18" i="1" s="1"/>
  <c r="N18" i="1"/>
  <c r="O18" i="1" s="1"/>
  <c r="E18" i="1"/>
  <c r="Q17" i="1"/>
  <c r="R17" i="1" s="1"/>
  <c r="S17" i="1" s="1"/>
  <c r="O17" i="1"/>
  <c r="N17" i="1"/>
  <c r="P17" i="1" s="1"/>
  <c r="E17" i="1"/>
  <c r="Q16" i="1"/>
  <c r="R16" i="1" s="1"/>
  <c r="S16" i="1" s="1"/>
  <c r="N16" i="1"/>
  <c r="P16" i="1" s="1"/>
  <c r="E16" i="1"/>
  <c r="Q15" i="1"/>
  <c r="R15" i="1" s="1"/>
  <c r="S15" i="1" s="1"/>
  <c r="N15" i="1"/>
  <c r="P15" i="1" s="1"/>
  <c r="E15" i="1"/>
  <c r="Q14" i="1"/>
  <c r="R14" i="1" s="1"/>
  <c r="S14" i="1" s="1"/>
  <c r="N14" i="1"/>
  <c r="O14" i="1" s="1"/>
  <c r="E14" i="1"/>
  <c r="Q13" i="1"/>
  <c r="R13" i="1" s="1"/>
  <c r="S13" i="1" s="1"/>
  <c r="O13" i="1"/>
  <c r="N13" i="1"/>
  <c r="P13" i="1" s="1"/>
  <c r="E13" i="1"/>
  <c r="Q12" i="1"/>
  <c r="R12" i="1" s="1"/>
  <c r="S12" i="1" s="1"/>
  <c r="N12" i="1"/>
  <c r="P12" i="1" s="1"/>
  <c r="E12" i="1"/>
  <c r="Q11" i="1"/>
  <c r="R11" i="1" s="1"/>
  <c r="S11" i="1" s="1"/>
  <c r="N11" i="1"/>
  <c r="P11" i="1" s="1"/>
  <c r="E11" i="1"/>
  <c r="Q10" i="1"/>
  <c r="R10" i="1" s="1"/>
  <c r="S10" i="1" s="1"/>
  <c r="N10" i="1"/>
  <c r="O10" i="1" s="1"/>
  <c r="E10" i="1"/>
  <c r="Q9" i="1"/>
  <c r="R9" i="1" s="1"/>
  <c r="S9" i="1" s="1"/>
  <c r="O9" i="1"/>
  <c r="N9" i="1"/>
  <c r="P9" i="1" s="1"/>
  <c r="E9" i="1"/>
  <c r="Q8" i="1"/>
  <c r="R8" i="1" s="1"/>
  <c r="S8" i="1" s="1"/>
  <c r="N8" i="1"/>
  <c r="P8" i="1" s="1"/>
  <c r="E8" i="1"/>
  <c r="Q7" i="1"/>
  <c r="R7" i="1" s="1"/>
  <c r="S7" i="1" s="1"/>
  <c r="N7" i="1"/>
  <c r="P7" i="1" s="1"/>
  <c r="E7" i="1"/>
  <c r="Q6" i="1"/>
  <c r="R6" i="1" s="1"/>
  <c r="S6" i="1" s="1"/>
  <c r="N6" i="1"/>
  <c r="O6" i="1" s="1"/>
  <c r="E6" i="1"/>
  <c r="Q5" i="1"/>
  <c r="R5" i="1" s="1"/>
  <c r="S5" i="1" s="1"/>
  <c r="O5" i="1"/>
  <c r="N5" i="1"/>
  <c r="P5" i="1" s="1"/>
  <c r="E5" i="1"/>
  <c r="Q4" i="1"/>
  <c r="R4" i="1" s="1"/>
  <c r="S4" i="1" s="1"/>
  <c r="N4" i="1"/>
  <c r="P4" i="1" s="1"/>
  <c r="E4" i="1"/>
  <c r="J508" i="8"/>
  <c r="J507" i="8"/>
  <c r="E12" i="13"/>
  <c r="F74" i="8"/>
  <c r="F77" i="8"/>
  <c r="E4" i="13"/>
  <c r="L937" i="8"/>
  <c r="G912" i="8"/>
  <c r="C912" i="8"/>
  <c r="N921" i="8"/>
  <c r="L923" i="8"/>
  <c r="K936" i="8"/>
  <c r="M921" i="8"/>
  <c r="J923" i="8"/>
  <c r="E911" i="8"/>
  <c r="K923" i="8"/>
  <c r="L922" i="8"/>
  <c r="B912" i="8"/>
  <c r="B913" i="8"/>
  <c r="J937" i="8"/>
  <c r="M935" i="8"/>
  <c r="D911" i="8"/>
  <c r="D913" i="8"/>
  <c r="L936" i="8"/>
  <c r="N924" i="8"/>
  <c r="J922" i="8"/>
  <c r="I924" i="8"/>
  <c r="I923" i="8"/>
  <c r="E9" i="13"/>
  <c r="F76" i="8"/>
  <c r="G914" i="8"/>
  <c r="M939" i="8"/>
  <c r="E7" i="13"/>
  <c r="F73" i="8"/>
  <c r="E13" i="13"/>
  <c r="M922" i="8"/>
  <c r="J935" i="8"/>
  <c r="E914" i="8"/>
  <c r="C545" i="8"/>
  <c r="N935" i="8"/>
  <c r="I938" i="8"/>
  <c r="K921" i="8"/>
  <c r="J936" i="8"/>
  <c r="N922" i="8"/>
  <c r="F912" i="8"/>
  <c r="G913" i="8"/>
  <c r="I937" i="8"/>
  <c r="C914" i="8"/>
  <c r="I939" i="8"/>
  <c r="J920" i="8"/>
  <c r="J924" i="8"/>
  <c r="C911" i="8"/>
  <c r="J938" i="8"/>
  <c r="F914" i="8"/>
  <c r="N936" i="8"/>
  <c r="I921" i="8"/>
  <c r="K935" i="8"/>
  <c r="C517" i="8"/>
  <c r="E5" i="13"/>
  <c r="E8" i="13"/>
  <c r="G911" i="8"/>
  <c r="K938" i="8"/>
  <c r="L921" i="8"/>
  <c r="E6" i="13"/>
  <c r="E11" i="13"/>
  <c r="F75" i="8"/>
  <c r="E10" i="13"/>
  <c r="N938" i="8"/>
  <c r="C531" i="8"/>
  <c r="L935" i="8"/>
  <c r="L938" i="8"/>
  <c r="D914" i="8"/>
  <c r="M923" i="8"/>
  <c r="D912" i="8"/>
  <c r="K937" i="8"/>
  <c r="F911" i="8"/>
  <c r="M937" i="8"/>
  <c r="J921" i="8"/>
  <c r="M936" i="8"/>
  <c r="B911" i="8"/>
  <c r="K939" i="8"/>
  <c r="I922" i="8"/>
  <c r="N939" i="8"/>
  <c r="E913" i="8"/>
  <c r="L920" i="8"/>
  <c r="M924" i="8"/>
  <c r="E912" i="8"/>
  <c r="M920" i="8"/>
  <c r="I920" i="8"/>
  <c r="I935" i="8"/>
  <c r="K920" i="8"/>
  <c r="F913" i="8"/>
  <c r="N937" i="8"/>
  <c r="K924" i="8"/>
  <c r="C913" i="8"/>
  <c r="J939" i="8"/>
  <c r="L924" i="8"/>
  <c r="C519" i="8"/>
  <c r="N923" i="8"/>
  <c r="I936" i="8"/>
  <c r="C558" i="8"/>
  <c r="M938" i="8"/>
  <c r="N920" i="8"/>
  <c r="K922" i="8"/>
  <c r="B914" i="8"/>
  <c r="L939" i="8"/>
  <c r="O7" i="1" l="1"/>
  <c r="O15" i="1"/>
  <c r="P145" i="1"/>
  <c r="P153" i="1"/>
  <c r="P317" i="1"/>
  <c r="O317" i="1"/>
  <c r="P349" i="1"/>
  <c r="O349" i="1"/>
  <c r="P373" i="1"/>
  <c r="O373" i="1"/>
  <c r="P405" i="1"/>
  <c r="O405" i="1"/>
  <c r="O568" i="1"/>
  <c r="P568" i="1"/>
  <c r="O600" i="1"/>
  <c r="P600" i="1"/>
  <c r="P607" i="1"/>
  <c r="O607" i="1"/>
  <c r="P643" i="1"/>
  <c r="O643" i="1"/>
  <c r="O650" i="1"/>
  <c r="P650" i="1"/>
  <c r="P193" i="1"/>
  <c r="P213" i="1"/>
  <c r="O214" i="1"/>
  <c r="P225" i="1"/>
  <c r="P245" i="1"/>
  <c r="O246" i="1"/>
  <c r="P257" i="1"/>
  <c r="O299" i="1"/>
  <c r="P300" i="1"/>
  <c r="O301" i="1"/>
  <c r="O357" i="1"/>
  <c r="O391" i="1"/>
  <c r="P397" i="1"/>
  <c r="O397" i="1"/>
  <c r="P421" i="1"/>
  <c r="P422" i="1"/>
  <c r="P459" i="1"/>
  <c r="O459" i="1"/>
  <c r="P497" i="1"/>
  <c r="O497" i="1"/>
  <c r="O508" i="1"/>
  <c r="O524" i="1"/>
  <c r="P524" i="1"/>
  <c r="O541" i="1"/>
  <c r="P567" i="1"/>
  <c r="O567" i="1"/>
  <c r="O573" i="1"/>
  <c r="P599" i="1"/>
  <c r="O599" i="1"/>
  <c r="O605" i="1"/>
  <c r="P617" i="1"/>
  <c r="O617" i="1"/>
  <c r="O629" i="1"/>
  <c r="P635" i="1"/>
  <c r="O635" i="1"/>
  <c r="O642" i="1"/>
  <c r="P642" i="1"/>
  <c r="O649" i="1"/>
  <c r="O655" i="1"/>
  <c r="O661" i="1"/>
  <c r="P665" i="1"/>
  <c r="O665" i="1"/>
  <c r="O11" i="1"/>
  <c r="O19" i="1"/>
  <c r="P355" i="1"/>
  <c r="O355" i="1"/>
  <c r="P389" i="1"/>
  <c r="O389" i="1"/>
  <c r="P457" i="1"/>
  <c r="O457" i="1"/>
  <c r="P523" i="1"/>
  <c r="O523" i="1"/>
  <c r="P609" i="1"/>
  <c r="O609" i="1"/>
  <c r="O616" i="1"/>
  <c r="P616" i="1"/>
  <c r="P627" i="1"/>
  <c r="O627" i="1"/>
  <c r="O634" i="1"/>
  <c r="P634" i="1"/>
  <c r="O641" i="1"/>
  <c r="O647" i="1"/>
  <c r="O653" i="1"/>
  <c r="P659" i="1"/>
  <c r="O659" i="1"/>
  <c r="O25" i="1"/>
  <c r="O33" i="1"/>
  <c r="O55" i="1"/>
  <c r="P56" i="1"/>
  <c r="O59" i="1"/>
  <c r="P60" i="1"/>
  <c r="P65" i="1"/>
  <c r="O87" i="1"/>
  <c r="P88" i="1"/>
  <c r="O91" i="1"/>
  <c r="P92" i="1"/>
  <c r="P97" i="1"/>
  <c r="O119" i="1"/>
  <c r="P120" i="1"/>
  <c r="O123" i="1"/>
  <c r="P124" i="1"/>
  <c r="O131" i="1"/>
  <c r="P132" i="1"/>
  <c r="O164" i="1"/>
  <c r="O166" i="1"/>
  <c r="P167" i="1"/>
  <c r="O168" i="1"/>
  <c r="O170" i="1"/>
  <c r="P181" i="1"/>
  <c r="P197" i="1"/>
  <c r="P209" i="1"/>
  <c r="P229" i="1"/>
  <c r="P241" i="1"/>
  <c r="P274" i="1"/>
  <c r="O283" i="1"/>
  <c r="P284" i="1"/>
  <c r="O285" i="1"/>
  <c r="O375" i="1"/>
  <c r="P381" i="1"/>
  <c r="O381" i="1"/>
  <c r="O407" i="1"/>
  <c r="P491" i="1"/>
  <c r="O491" i="1"/>
  <c r="P505" i="1"/>
  <c r="O505" i="1"/>
  <c r="O521" i="1"/>
  <c r="P521" i="1"/>
  <c r="P537" i="1"/>
  <c r="O537" i="1"/>
  <c r="P565" i="1"/>
  <c r="O565" i="1"/>
  <c r="P569" i="1"/>
  <c r="O569" i="1"/>
  <c r="P597" i="1"/>
  <c r="O597" i="1"/>
  <c r="P601" i="1"/>
  <c r="O601" i="1"/>
  <c r="O608" i="1"/>
  <c r="P608" i="1"/>
  <c r="P615" i="1"/>
  <c r="O615" i="1"/>
  <c r="O626" i="1"/>
  <c r="P626" i="1"/>
  <c r="P651" i="1"/>
  <c r="O651" i="1"/>
  <c r="O658" i="1"/>
  <c r="P658" i="1"/>
  <c r="O669" i="1"/>
  <c r="O671" i="1"/>
  <c r="O677" i="1"/>
  <c r="O679" i="1"/>
  <c r="O685" i="1"/>
  <c r="O687" i="1"/>
  <c r="O693" i="1"/>
  <c r="P702" i="1"/>
  <c r="O697" i="1"/>
  <c r="P10" i="1"/>
  <c r="P18" i="1"/>
  <c r="P26" i="1"/>
  <c r="P34" i="1"/>
  <c r="O184" i="1"/>
  <c r="P184" i="1"/>
  <c r="O189" i="1"/>
  <c r="P189" i="1"/>
  <c r="O194" i="1"/>
  <c r="P194" i="1"/>
  <c r="O169" i="1"/>
  <c r="P169" i="1"/>
  <c r="P6" i="1"/>
  <c r="P14" i="1"/>
  <c r="P22" i="1"/>
  <c r="P30" i="1"/>
  <c r="O37" i="1"/>
  <c r="O45" i="1"/>
  <c r="O53" i="1"/>
  <c r="O61" i="1"/>
  <c r="O69" i="1"/>
  <c r="O77" i="1"/>
  <c r="O85" i="1"/>
  <c r="O93" i="1"/>
  <c r="O101" i="1"/>
  <c r="O109" i="1"/>
  <c r="O117" i="1"/>
  <c r="O125" i="1"/>
  <c r="O133" i="1"/>
  <c r="O141" i="1"/>
  <c r="O144" i="1"/>
  <c r="P144" i="1"/>
  <c r="O152" i="1"/>
  <c r="P152" i="1"/>
  <c r="O160" i="1"/>
  <c r="P160" i="1"/>
  <c r="O165" i="1"/>
  <c r="P165" i="1"/>
  <c r="P182" i="1"/>
  <c r="O182" i="1"/>
  <c r="O127" i="1"/>
  <c r="P128" i="1"/>
  <c r="O135" i="1"/>
  <c r="P136" i="1"/>
  <c r="O143" i="1"/>
  <c r="P151" i="1"/>
  <c r="O151" i="1"/>
  <c r="P159" i="1"/>
  <c r="O159" i="1"/>
  <c r="O174" i="1"/>
  <c r="P177" i="1"/>
  <c r="P185" i="1"/>
  <c r="O190" i="1"/>
  <c r="O196" i="1"/>
  <c r="P200" i="1"/>
  <c r="P201" i="1"/>
  <c r="O206" i="1"/>
  <c r="P210" i="1"/>
  <c r="O212" i="1"/>
  <c r="P216" i="1"/>
  <c r="P217" i="1"/>
  <c r="O222" i="1"/>
  <c r="P226" i="1"/>
  <c r="O228" i="1"/>
  <c r="P232" i="1"/>
  <c r="P233" i="1"/>
  <c r="O238" i="1"/>
  <c r="P242" i="1"/>
  <c r="O244" i="1"/>
  <c r="P248" i="1"/>
  <c r="P249" i="1"/>
  <c r="O254" i="1"/>
  <c r="O261" i="1"/>
  <c r="P265" i="1"/>
  <c r="P266" i="1"/>
  <c r="O271" i="1"/>
  <c r="O277" i="1"/>
  <c r="O281" i="1"/>
  <c r="O289" i="1"/>
  <c r="O297" i="1"/>
  <c r="O305" i="1"/>
  <c r="O313" i="1"/>
  <c r="O321" i="1"/>
  <c r="O329" i="1"/>
  <c r="O337" i="1"/>
  <c r="O345" i="1"/>
  <c r="O351" i="1"/>
  <c r="O353" i="1"/>
  <c r="O359" i="1"/>
  <c r="O361" i="1"/>
  <c r="O365" i="1"/>
  <c r="P419" i="1"/>
  <c r="O419" i="1"/>
  <c r="O428" i="1"/>
  <c r="P428" i="1"/>
  <c r="P455" i="1"/>
  <c r="O455" i="1"/>
  <c r="P461" i="1"/>
  <c r="O461" i="1"/>
  <c r="P471" i="1"/>
  <c r="O471" i="1"/>
  <c r="O315" i="1"/>
  <c r="P316" i="1"/>
  <c r="O323" i="1"/>
  <c r="P324" i="1"/>
  <c r="O331" i="1"/>
  <c r="P332" i="1"/>
  <c r="O339" i="1"/>
  <c r="P340" i="1"/>
  <c r="O347" i="1"/>
  <c r="P348" i="1"/>
  <c r="P354" i="1"/>
  <c r="P362" i="1"/>
  <c r="O363" i="1"/>
  <c r="P370" i="1"/>
  <c r="O371" i="1"/>
  <c r="P378" i="1"/>
  <c r="O379" i="1"/>
  <c r="P386" i="1"/>
  <c r="O387" i="1"/>
  <c r="P394" i="1"/>
  <c r="O395" i="1"/>
  <c r="P402" i="1"/>
  <c r="O403" i="1"/>
  <c r="O409" i="1"/>
  <c r="O423" i="1"/>
  <c r="O427" i="1"/>
  <c r="P441" i="1"/>
  <c r="O441" i="1"/>
  <c r="O448" i="1"/>
  <c r="P448" i="1"/>
  <c r="O484" i="1"/>
  <c r="P484" i="1"/>
  <c r="P410" i="1"/>
  <c r="P411" i="1"/>
  <c r="O411" i="1"/>
  <c r="P424" i="1"/>
  <c r="O431" i="1"/>
  <c r="P453" i="1"/>
  <c r="O453" i="1"/>
  <c r="P463" i="1"/>
  <c r="O463" i="1"/>
  <c r="P469" i="1"/>
  <c r="O469" i="1"/>
  <c r="O476" i="1"/>
  <c r="P476" i="1"/>
  <c r="P205" i="1"/>
  <c r="P221" i="1"/>
  <c r="P237" i="1"/>
  <c r="P253" i="1"/>
  <c r="P258" i="1"/>
  <c r="P260" i="1"/>
  <c r="O275" i="1"/>
  <c r="P276" i="1"/>
  <c r="P280" i="1"/>
  <c r="O287" i="1"/>
  <c r="P288" i="1"/>
  <c r="O295" i="1"/>
  <c r="P296" i="1"/>
  <c r="O303" i="1"/>
  <c r="P304" i="1"/>
  <c r="O311" i="1"/>
  <c r="P312" i="1"/>
  <c r="O319" i="1"/>
  <c r="P320" i="1"/>
  <c r="O327" i="1"/>
  <c r="P328" i="1"/>
  <c r="O335" i="1"/>
  <c r="P336" i="1"/>
  <c r="O343" i="1"/>
  <c r="P344" i="1"/>
  <c r="P350" i="1"/>
  <c r="P358" i="1"/>
  <c r="O366" i="1"/>
  <c r="P366" i="1"/>
  <c r="O374" i="1"/>
  <c r="P374" i="1"/>
  <c r="O382" i="1"/>
  <c r="P382" i="1"/>
  <c r="O390" i="1"/>
  <c r="P390" i="1"/>
  <c r="O398" i="1"/>
  <c r="P398" i="1"/>
  <c r="O406" i="1"/>
  <c r="P406" i="1"/>
  <c r="P433" i="1"/>
  <c r="O433" i="1"/>
  <c r="O670" i="1"/>
  <c r="P670" i="1"/>
  <c r="O678" i="1"/>
  <c r="P678" i="1"/>
  <c r="O686" i="1"/>
  <c r="P686" i="1"/>
  <c r="O694" i="1"/>
  <c r="P694" i="1"/>
  <c r="P492" i="1"/>
  <c r="P500" i="1"/>
  <c r="O517" i="1"/>
  <c r="O531" i="1"/>
  <c r="P532" i="1"/>
  <c r="O698" i="1"/>
  <c r="P698" i="1"/>
  <c r="O477" i="1"/>
  <c r="O479" i="1"/>
  <c r="O485" i="1"/>
  <c r="O487" i="1"/>
  <c r="O493" i="1"/>
  <c r="O495" i="1"/>
  <c r="O501" i="1"/>
  <c r="O503" i="1"/>
  <c r="O509" i="1"/>
  <c r="O519" i="1"/>
  <c r="P520" i="1"/>
  <c r="O525" i="1"/>
  <c r="O533" i="1"/>
  <c r="O540" i="1"/>
  <c r="P540" i="1"/>
  <c r="O548" i="1"/>
  <c r="P548" i="1"/>
  <c r="O556" i="1"/>
  <c r="P556" i="1"/>
  <c r="O564" i="1"/>
  <c r="P564" i="1"/>
  <c r="O572" i="1"/>
  <c r="P572" i="1"/>
  <c r="O580" i="1"/>
  <c r="P580" i="1"/>
  <c r="O588" i="1"/>
  <c r="P588" i="1"/>
  <c r="O596" i="1"/>
  <c r="P596" i="1"/>
  <c r="O604" i="1"/>
  <c r="P604" i="1"/>
  <c r="O612" i="1"/>
  <c r="P612" i="1"/>
  <c r="P623" i="1"/>
  <c r="O623" i="1"/>
  <c r="O630" i="1"/>
  <c r="P630" i="1"/>
  <c r="O638" i="1"/>
  <c r="P638" i="1"/>
  <c r="O646" i="1"/>
  <c r="P646" i="1"/>
  <c r="O654" i="1"/>
  <c r="P654" i="1"/>
  <c r="O662" i="1"/>
  <c r="P662" i="1"/>
  <c r="P456" i="1"/>
  <c r="P464" i="1"/>
  <c r="P472" i="1"/>
  <c r="P480" i="1"/>
  <c r="P488" i="1"/>
  <c r="P496" i="1"/>
  <c r="P504" i="1"/>
  <c r="O507" i="1"/>
  <c r="P510" i="1"/>
  <c r="O515" i="1"/>
  <c r="O527" i="1"/>
  <c r="P528" i="1"/>
  <c r="O535" i="1"/>
  <c r="P536" i="1"/>
  <c r="P539" i="1"/>
  <c r="O539" i="1"/>
  <c r="P547" i="1"/>
  <c r="O547" i="1"/>
  <c r="P555" i="1"/>
  <c r="O555" i="1"/>
  <c r="P563" i="1"/>
  <c r="O563" i="1"/>
  <c r="P571" i="1"/>
  <c r="O571" i="1"/>
  <c r="P579" i="1"/>
  <c r="O579" i="1"/>
  <c r="P587" i="1"/>
  <c r="O587" i="1"/>
  <c r="P595" i="1"/>
  <c r="O595" i="1"/>
  <c r="P603" i="1"/>
  <c r="O603" i="1"/>
  <c r="P611" i="1"/>
  <c r="O611" i="1"/>
  <c r="P620" i="1"/>
  <c r="O620" i="1"/>
  <c r="O666" i="1"/>
  <c r="P666" i="1"/>
  <c r="O920" i="8"/>
  <c r="B930" i="8" s="1"/>
  <c r="Q921" i="8"/>
  <c r="P921" i="8"/>
  <c r="R921" i="8"/>
  <c r="O935" i="8"/>
  <c r="B943" i="8" s="1"/>
  <c r="Q922" i="8"/>
  <c r="P922" i="8"/>
  <c r="R922" i="8"/>
  <c r="R920" i="8"/>
  <c r="Q920" i="8"/>
  <c r="P920" i="8"/>
  <c r="R923" i="8"/>
  <c r="Q923" i="8"/>
  <c r="P923" i="8"/>
  <c r="R924" i="8"/>
  <c r="Q924" i="8"/>
  <c r="P924" i="8"/>
  <c r="R937" i="8"/>
  <c r="P937" i="8"/>
  <c r="Q937" i="8"/>
  <c r="P935" i="8"/>
  <c r="R935" i="8"/>
  <c r="Q935" i="8"/>
  <c r="Q938" i="8"/>
  <c r="P938" i="8"/>
  <c r="R938" i="8"/>
  <c r="P939" i="8"/>
  <c r="R939" i="8"/>
  <c r="Q939" i="8"/>
  <c r="Q936" i="8"/>
  <c r="R936" i="8"/>
  <c r="P936" i="8"/>
  <c r="P38" i="1"/>
  <c r="P42" i="1"/>
  <c r="P46" i="1"/>
  <c r="P50" i="1"/>
  <c r="P54" i="1"/>
  <c r="P58" i="1"/>
  <c r="P62" i="1"/>
  <c r="P66" i="1"/>
  <c r="P70" i="1"/>
  <c r="P74" i="1"/>
  <c r="P78" i="1"/>
  <c r="P82" i="1"/>
  <c r="P86" i="1"/>
  <c r="P90" i="1"/>
  <c r="P94" i="1"/>
  <c r="P98" i="1"/>
  <c r="P102" i="1"/>
  <c r="P106" i="1"/>
  <c r="P110" i="1"/>
  <c r="P114" i="1"/>
  <c r="P118" i="1"/>
  <c r="P122" i="1"/>
  <c r="P126" i="1"/>
  <c r="P130" i="1"/>
  <c r="P134" i="1"/>
  <c r="P138" i="1"/>
  <c r="P142" i="1"/>
  <c r="P146" i="1"/>
  <c r="P150" i="1"/>
  <c r="P154" i="1"/>
  <c r="P158" i="1"/>
  <c r="O4" i="1"/>
  <c r="O8" i="1"/>
  <c r="O12" i="1"/>
  <c r="O16" i="1"/>
  <c r="O20" i="1"/>
  <c r="O24" i="1"/>
  <c r="O28" i="1"/>
  <c r="O32" i="1"/>
  <c r="P163" i="1"/>
  <c r="O171" i="1"/>
  <c r="P171" i="1"/>
  <c r="P175" i="1"/>
  <c r="P179" i="1"/>
  <c r="P183" i="1"/>
  <c r="P187" i="1"/>
  <c r="P191" i="1"/>
  <c r="P195" i="1"/>
  <c r="P199" i="1"/>
  <c r="P203" i="1"/>
  <c r="P207" i="1"/>
  <c r="P211" i="1"/>
  <c r="P215" i="1"/>
  <c r="P219" i="1"/>
  <c r="P223" i="1"/>
  <c r="P227" i="1"/>
  <c r="P231" i="1"/>
  <c r="P235" i="1"/>
  <c r="P239" i="1"/>
  <c r="P243" i="1"/>
  <c r="P247" i="1"/>
  <c r="P251" i="1"/>
  <c r="P255" i="1"/>
  <c r="O259" i="1"/>
  <c r="P262" i="1"/>
  <c r="P272" i="1"/>
  <c r="P278" i="1"/>
  <c r="P264" i="1"/>
  <c r="P270" i="1"/>
  <c r="O282" i="1"/>
  <c r="O286" i="1"/>
  <c r="O290" i="1"/>
  <c r="O294" i="1"/>
  <c r="O298" i="1"/>
  <c r="O302" i="1"/>
  <c r="O306" i="1"/>
  <c r="O310" i="1"/>
  <c r="O314" i="1"/>
  <c r="O318" i="1"/>
  <c r="O322" i="1"/>
  <c r="O326" i="1"/>
  <c r="O330" i="1"/>
  <c r="O334" i="1"/>
  <c r="O338" i="1"/>
  <c r="O342" i="1"/>
  <c r="O346" i="1"/>
  <c r="O425" i="1"/>
  <c r="P434" i="1"/>
  <c r="P440" i="1"/>
  <c r="P438" i="1"/>
  <c r="O352" i="1"/>
  <c r="O356" i="1"/>
  <c r="O360" i="1"/>
  <c r="O364" i="1"/>
  <c r="O368" i="1"/>
  <c r="O372" i="1"/>
  <c r="O376" i="1"/>
  <c r="O380" i="1"/>
  <c r="O384" i="1"/>
  <c r="O388" i="1"/>
  <c r="O392" i="1"/>
  <c r="O396" i="1"/>
  <c r="O400" i="1"/>
  <c r="O404" i="1"/>
  <c r="O408" i="1"/>
  <c r="O412" i="1"/>
  <c r="O416" i="1"/>
  <c r="O420" i="1"/>
  <c r="P426" i="1"/>
  <c r="P432" i="1"/>
  <c r="P442" i="1"/>
  <c r="P518" i="1"/>
  <c r="O518" i="1"/>
  <c r="O446" i="1"/>
  <c r="O450" i="1"/>
  <c r="O454" i="1"/>
  <c r="O458" i="1"/>
  <c r="O462" i="1"/>
  <c r="O466" i="1"/>
  <c r="O470" i="1"/>
  <c r="O474" i="1"/>
  <c r="O478" i="1"/>
  <c r="O482" i="1"/>
  <c r="O486" i="1"/>
  <c r="O490" i="1"/>
  <c r="O494" i="1"/>
  <c r="O498" i="1"/>
  <c r="O502" i="1"/>
  <c r="P506" i="1"/>
  <c r="P514" i="1"/>
  <c r="P522" i="1"/>
  <c r="O522" i="1"/>
  <c r="P624" i="1"/>
  <c r="O526" i="1"/>
  <c r="O530" i="1"/>
  <c r="O534" i="1"/>
  <c r="O538" i="1"/>
  <c r="O542" i="1"/>
  <c r="O546" i="1"/>
  <c r="O550" i="1"/>
  <c r="O554" i="1"/>
  <c r="O558" i="1"/>
  <c r="O562" i="1"/>
  <c r="O566" i="1"/>
  <c r="O570" i="1"/>
  <c r="O574" i="1"/>
  <c r="O578" i="1"/>
  <c r="O582" i="1"/>
  <c r="O586" i="1"/>
  <c r="O590" i="1"/>
  <c r="O594" i="1"/>
  <c r="O598" i="1"/>
  <c r="O602" i="1"/>
  <c r="O606" i="1"/>
  <c r="O610" i="1"/>
  <c r="O614" i="1"/>
  <c r="P618" i="1"/>
  <c r="P622" i="1"/>
  <c r="O628" i="1"/>
  <c r="O632" i="1"/>
  <c r="O636" i="1"/>
  <c r="O640" i="1"/>
  <c r="O644" i="1"/>
  <c r="O648" i="1"/>
  <c r="O652" i="1"/>
  <c r="O656" i="1"/>
  <c r="O660" i="1"/>
  <c r="O664" i="1"/>
  <c r="O668" i="1"/>
  <c r="O672" i="1"/>
  <c r="O676" i="1"/>
  <c r="O680" i="1"/>
  <c r="O684" i="1"/>
  <c r="O688" i="1"/>
  <c r="O692" i="1"/>
  <c r="O696" i="1"/>
  <c r="O700" i="1"/>
  <c r="O663" i="1"/>
  <c r="O667" i="1"/>
  <c r="O695" i="1"/>
  <c r="O699" i="1"/>
  <c r="P940" i="8" l="1"/>
  <c r="C943" i="8" s="1"/>
  <c r="O940" i="8"/>
  <c r="A943" i="8" s="1"/>
  <c r="R940" i="8"/>
  <c r="E943" i="8" s="1"/>
  <c r="Q940" i="8"/>
  <c r="D943" i="8" s="1"/>
  <c r="R925" i="8"/>
  <c r="Q925" i="8"/>
  <c r="D930" i="8" s="1"/>
  <c r="P925" i="8"/>
  <c r="C930" i="8" s="1"/>
  <c r="O925" i="8"/>
  <c r="E930" i="8" l="1"/>
  <c r="A930"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0DE7AC-E716-4716-AA2B-AE9DCA9DE46A}"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0A0A022-FC54-4C7F-83CF-ECCCCA3FE066}" name="WorksheetConnection_Pivot-Analysis!$A$160:$H$164" type="102" refreshedVersion="6" minRefreshableVersion="5">
    <extLst>
      <ext xmlns:x15="http://schemas.microsoft.com/office/spreadsheetml/2010/11/main" uri="{DE250136-89BD-433C-8126-D09CA5730AF9}">
        <x15:connection id="Range">
          <x15:rangePr sourceName="_xlcn.WorksheetConnection_PivotAnalysisA160H1641"/>
        </x15:connection>
      </ext>
    </extLst>
  </connection>
</connections>
</file>

<file path=xl/sharedStrings.xml><?xml version="1.0" encoding="utf-8"?>
<sst xmlns="http://schemas.openxmlformats.org/spreadsheetml/2006/main" count="8527" uniqueCount="1604">
  <si>
    <t>Data description: Sales data to perform sales and profit analysis in dfifferent countries</t>
  </si>
  <si>
    <t>Product</t>
  </si>
  <si>
    <t>Discount Band</t>
  </si>
  <si>
    <t>Units Sold</t>
  </si>
  <si>
    <t>Manufacturing Price</t>
  </si>
  <si>
    <t>Sale Price</t>
  </si>
  <si>
    <t>Gross Sales</t>
  </si>
  <si>
    <t>Discounts</t>
  </si>
  <si>
    <t>Sales</t>
  </si>
  <si>
    <t>COGS</t>
  </si>
  <si>
    <t>Date(dd/mm/yyyy)</t>
  </si>
  <si>
    <t>Government-Canada-Carretera</t>
  </si>
  <si>
    <t>None</t>
  </si>
  <si>
    <t>Government-Germany-Carretera</t>
  </si>
  <si>
    <t>Midmarket-France-Carretera</t>
  </si>
  <si>
    <t>Midmarket-Germany-Carretera</t>
  </si>
  <si>
    <t>Midmarket-Mexico-Carretera</t>
  </si>
  <si>
    <t>Midmarket-Germany-Montana</t>
  </si>
  <si>
    <t>Channel Partners-Canada-Montana</t>
  </si>
  <si>
    <t>Government-France-Montana</t>
  </si>
  <si>
    <t>Channel Partners-Germany-Montana</t>
  </si>
  <si>
    <t>Midmarket-Mexico-Montana</t>
  </si>
  <si>
    <t>Enterprise-Canada-Montana</t>
  </si>
  <si>
    <t>Small Business-Mexico-Montana</t>
  </si>
  <si>
    <t>Government-Germany-Montana</t>
  </si>
  <si>
    <t>Midmarket-United States of America-Montana</t>
  </si>
  <si>
    <t>Government-Canada-Paseo</t>
  </si>
  <si>
    <t>Midmarket-Mexico-Paseo</t>
  </si>
  <si>
    <t>Channel Partners-Canada-Paseo</t>
  </si>
  <si>
    <t>Government-Germany-Paseo</t>
  </si>
  <si>
    <t>Channel Partners-Germany-Paseo</t>
  </si>
  <si>
    <t>Government-Mexico-Paseo</t>
  </si>
  <si>
    <t>Midmarket-France-Paseo</t>
  </si>
  <si>
    <t>Small Business-Mexico-Paseo</t>
  </si>
  <si>
    <t>Government-United States of America-Paseo</t>
  </si>
  <si>
    <t>Channel Partners-United States of America-Paseo</t>
  </si>
  <si>
    <t>Midmarket-Canada-Paseo</t>
  </si>
  <si>
    <t>Government-Mexico-Velo</t>
  </si>
  <si>
    <t>Enterprise-France-Velo</t>
  </si>
  <si>
    <t>Channel Partners-Germany-Velo</t>
  </si>
  <si>
    <t>Government-Germany-Velo</t>
  </si>
  <si>
    <t>Enterprise-United States of America-Velo</t>
  </si>
  <si>
    <t>Enterprise-Canada-Velo</t>
  </si>
  <si>
    <t>Small Business-Canada-VTT</t>
  </si>
  <si>
    <t>Channel Partners-Germany-VTT</t>
  </si>
  <si>
    <t>Midmarket-France-VTT</t>
  </si>
  <si>
    <t>Midmarket-Germany-VTT</t>
  </si>
  <si>
    <t>Government-France-VTT</t>
  </si>
  <si>
    <t>Small Business-France-VTT</t>
  </si>
  <si>
    <t>Government-Canada-VTT</t>
  </si>
  <si>
    <t>Government-France-Amarilla</t>
  </si>
  <si>
    <t>Channel Partners-United States of America-Amarilla</t>
  </si>
  <si>
    <t>Enterprise-Germany-Amarilla</t>
  </si>
  <si>
    <t>Government-Germany-Amarilla</t>
  </si>
  <si>
    <t>Government-United States of America-Amarilla</t>
  </si>
  <si>
    <t>Midmarket-United States of America-Amarilla</t>
  </si>
  <si>
    <t>Government-France-Paseo</t>
  </si>
  <si>
    <t>Low</t>
  </si>
  <si>
    <t>Government-France-Velo</t>
  </si>
  <si>
    <t>Channel Partners-United States of America-Carretera</t>
  </si>
  <si>
    <t>Government-Mexico-Carretera</t>
  </si>
  <si>
    <t>Government-United States of America-Carretera</t>
  </si>
  <si>
    <t>Channel Partners-Canada-Carretera</t>
  </si>
  <si>
    <t>Enterprise-United States of America-Carretera</t>
  </si>
  <si>
    <t>Channel Partners-France-Carretera</t>
  </si>
  <si>
    <t>Channel Partners-Germany-Carretera</t>
  </si>
  <si>
    <t>Small Business-Mexico-Carretera</t>
  </si>
  <si>
    <t>Government-France-Carretera</t>
  </si>
  <si>
    <t>Small Business-United States of America-Montana</t>
  </si>
  <si>
    <t>Government-Canada-Montana</t>
  </si>
  <si>
    <t>Enterprise-United States of America-Montana</t>
  </si>
  <si>
    <t>Midmarket-United States of America-Paseo</t>
  </si>
  <si>
    <t>Enterprise-United States of America-Paseo</t>
  </si>
  <si>
    <t>Enterprise-France-Paseo</t>
  </si>
  <si>
    <t>Enterprise-Mexico-Paseo</t>
  </si>
  <si>
    <t>Midmarket-Germany-Paseo</t>
  </si>
  <si>
    <t>Small Business-United States of America-Paseo</t>
  </si>
  <si>
    <t>Government-Canada-Velo</t>
  </si>
  <si>
    <t>Government-Germany-VTT</t>
  </si>
  <si>
    <t>Enterprise-United States of America-VTT</t>
  </si>
  <si>
    <t>Enterprise-France-VTT</t>
  </si>
  <si>
    <t>Small Business-Germany-VTT</t>
  </si>
  <si>
    <t>Small Business-Mexico-VTT</t>
  </si>
  <si>
    <t>Government-Mexico-VTT</t>
  </si>
  <si>
    <t>Midmarket-France-Amarilla</t>
  </si>
  <si>
    <t>Enterprise-Canada-Carretera</t>
  </si>
  <si>
    <t>Small Business-Germany-Carretera</t>
  </si>
  <si>
    <t>Channel Partners-United States of America-Montana</t>
  </si>
  <si>
    <t>Government-United States of America-Montana</t>
  </si>
  <si>
    <t>Channel Partners-Mexico-Montana</t>
  </si>
  <si>
    <t>Enterprise-Mexico-Montana</t>
  </si>
  <si>
    <t>Small Business-France-Paseo</t>
  </si>
  <si>
    <t>Small Business-Germany-Paseo</t>
  </si>
  <si>
    <t>Enterprise-Germany-Paseo</t>
  </si>
  <si>
    <t>Channel Partners-France-Paseo</t>
  </si>
  <si>
    <t>Small Business-Canada-Paseo</t>
  </si>
  <si>
    <t>Enterprise-Canada-Paseo</t>
  </si>
  <si>
    <t>Channel Partners-Mexico-Paseo</t>
  </si>
  <si>
    <t>Government-United States of America-Velo</t>
  </si>
  <si>
    <t>Enterprise-Germany-Velo</t>
  </si>
  <si>
    <t>Enterprise-Mexico-Velo</t>
  </si>
  <si>
    <t>Channel Partners-France-Velo</t>
  </si>
  <si>
    <t>Channel Partners-Mexico-Velo</t>
  </si>
  <si>
    <t>Enterprise-Mexico-VTT</t>
  </si>
  <si>
    <t>Enterprise-Canada-VTT</t>
  </si>
  <si>
    <t>Government-United States of America-VTT</t>
  </si>
  <si>
    <t>Small Business-Germany-Amarilla</t>
  </si>
  <si>
    <t>Small Business-Mexico-Amarilla</t>
  </si>
  <si>
    <t>Small Business-Canada-Amarilla</t>
  </si>
  <si>
    <t>Enterprise-France-Carretera</t>
  </si>
  <si>
    <t>Channel Partners-France-Montana</t>
  </si>
  <si>
    <t>Enterprise-France-Montana</t>
  </si>
  <si>
    <t>Enterprise-Germany-Montana</t>
  </si>
  <si>
    <t>Small Business-United States of America-VTT</t>
  </si>
  <si>
    <t>Channel Partners-Mexico-VTT</t>
  </si>
  <si>
    <t>Enterprise-Germany-VTT</t>
  </si>
  <si>
    <t>Midmarket-Canada-Montana</t>
  </si>
  <si>
    <t>Small Business-Germany-Montana</t>
  </si>
  <si>
    <t>Channel Partners-United States of America-Velo</t>
  </si>
  <si>
    <t>Channel Partners-France-VTT</t>
  </si>
  <si>
    <t>Midmarket-Mexico-VTT</t>
  </si>
  <si>
    <t>Government-Mexico-Amarilla</t>
  </si>
  <si>
    <t>Enterprise-Mexico-Amarilla</t>
  </si>
  <si>
    <t>Government-Canada-Amarilla</t>
  </si>
  <si>
    <t>Medium</t>
  </si>
  <si>
    <t>Channel Partners-Canada-Velo</t>
  </si>
  <si>
    <t>Channel Partners-Mexico-Amarilla</t>
  </si>
  <si>
    <t>Small Business-United States of America-Carretera</t>
  </si>
  <si>
    <t>Government-Mexico-Montana</t>
  </si>
  <si>
    <t>Midmarket-United States of America-Velo</t>
  </si>
  <si>
    <t>Midmarket-Mexico-Velo</t>
  </si>
  <si>
    <t>Small Business-Germany-Velo</t>
  </si>
  <si>
    <t>Midmarket-Canada-Carretera</t>
  </si>
  <si>
    <t>Channel Partners-Mexico-Carretera</t>
  </si>
  <si>
    <t>Midmarket-United States of America-Carretera</t>
  </si>
  <si>
    <t>Enterprise-Germany-Carretera</t>
  </si>
  <si>
    <t>Midmarket-Germany-Velo</t>
  </si>
  <si>
    <t>Small Business-France-Velo</t>
  </si>
  <si>
    <t>Midmarket-Canada-VTT</t>
  </si>
  <si>
    <t>Enterprise-France-Amarilla</t>
  </si>
  <si>
    <t>Midmarket-United States of America-VTT</t>
  </si>
  <si>
    <t>Midmarket-Canada-Velo</t>
  </si>
  <si>
    <t>Small Business-France-Carretera</t>
  </si>
  <si>
    <t>Small Business-France-Montana</t>
  </si>
  <si>
    <t>Small Business-United States of America-Velo</t>
  </si>
  <si>
    <t>Channel Partners-Canada-VTT</t>
  </si>
  <si>
    <t>Enterprise-Canada-Amarilla</t>
  </si>
  <si>
    <t>Small Business-United States of America-Amarilla</t>
  </si>
  <si>
    <t>Enterprise-Mexico-Carretera</t>
  </si>
  <si>
    <t>Midmarket-France-Montana</t>
  </si>
  <si>
    <t>Small Business-Canada-Montana</t>
  </si>
  <si>
    <t>Small Business-Mexico-Velo</t>
  </si>
  <si>
    <t>Midmarket-Germany-Amarilla</t>
  </si>
  <si>
    <t>Small Business-Canada-Carretera</t>
  </si>
  <si>
    <t>Small Business-Canada-Velo</t>
  </si>
  <si>
    <t>Channel Partners-United States of America-VTT</t>
  </si>
  <si>
    <t>Midmarket-Canada-Amarilla</t>
  </si>
  <si>
    <t>Channel Partners-France-Amarilla</t>
  </si>
  <si>
    <t>High</t>
  </si>
  <si>
    <t>Enterprise-United States of America-Amarilla</t>
  </si>
  <si>
    <t>Channel Partners-Canada-Amarilla</t>
  </si>
  <si>
    <t>Channel Partners-Germany-Amarilla</t>
  </si>
  <si>
    <t>Small Business-France-Amarilla</t>
  </si>
  <si>
    <t>Midmarket-Mexico-Amarilla</t>
  </si>
  <si>
    <t>Midmarket-France-Velo</t>
  </si>
  <si>
    <t>1. Convert to table</t>
  </si>
  <si>
    <t>2. Delimit - Seperate Segment (govt, midmarket), Country and Product</t>
  </si>
  <si>
    <t>3. Correct data types and format (currency, date, text)</t>
  </si>
  <si>
    <t>4. Create profit column</t>
  </si>
  <si>
    <t>5. Conditional formatting on profit</t>
  </si>
  <si>
    <t>6. Extract day, month and year from Date</t>
  </si>
  <si>
    <t>7. IF-else on Discount - add 0 if null</t>
  </si>
  <si>
    <t>7. Filters on Market sheet</t>
  </si>
  <si>
    <t>8. Fill in Market sheet</t>
  </si>
  <si>
    <t>9. Vlookup for Market column in sales data</t>
  </si>
  <si>
    <t>10. Sorting data based on values and alphabets</t>
  </si>
  <si>
    <t>11. Mathematical calculations</t>
  </si>
  <si>
    <t>12. Pivot charts</t>
  </si>
  <si>
    <t>13. Slicers</t>
  </si>
  <si>
    <t>14. Dashboards</t>
  </si>
  <si>
    <t>15. Chart formatting</t>
  </si>
  <si>
    <t>16. Dashboard themes</t>
  </si>
  <si>
    <t>17. Hide worksheets</t>
  </si>
  <si>
    <t>18. Protect data</t>
  </si>
  <si>
    <t>Sl#</t>
  </si>
  <si>
    <t>Country</t>
  </si>
  <si>
    <t>Continent</t>
  </si>
  <si>
    <t>Afghanistan</t>
  </si>
  <si>
    <t>Asia</t>
  </si>
  <si>
    <t>Armenia</t>
  </si>
  <si>
    <t>Azerbaijan</t>
  </si>
  <si>
    <t>Bahrain</t>
  </si>
  <si>
    <t>Bangladesh</t>
  </si>
  <si>
    <t>Bhutan</t>
  </si>
  <si>
    <t>Brunei</t>
  </si>
  <si>
    <t>Cambodia</t>
  </si>
  <si>
    <t>China</t>
  </si>
  <si>
    <t>Cyprus</t>
  </si>
  <si>
    <t>Georgia</t>
  </si>
  <si>
    <t>India</t>
  </si>
  <si>
    <t>Indonesia</t>
  </si>
  <si>
    <t>Iran</t>
  </si>
  <si>
    <t>Iraq</t>
  </si>
  <si>
    <t>Israel</t>
  </si>
  <si>
    <t>Japan</t>
  </si>
  <si>
    <t>Jordan</t>
  </si>
  <si>
    <t>Kazakhstan</t>
  </si>
  <si>
    <t>Kuwait</t>
  </si>
  <si>
    <t>Kyrgyzstan</t>
  </si>
  <si>
    <t>Laos</t>
  </si>
  <si>
    <t>Lebanon</t>
  </si>
  <si>
    <t>Malaysia</t>
  </si>
  <si>
    <t>Maldives</t>
  </si>
  <si>
    <t>Mongolia</t>
  </si>
  <si>
    <t>Myanmar (Burma)</t>
  </si>
  <si>
    <t>Nepal</t>
  </si>
  <si>
    <t>North Korea</t>
  </si>
  <si>
    <t>Oman</t>
  </si>
  <si>
    <t>Pakistan</t>
  </si>
  <si>
    <t>Palestine</t>
  </si>
  <si>
    <t>Philippines</t>
  </si>
  <si>
    <t>Qatar</t>
  </si>
  <si>
    <t>Russia</t>
  </si>
  <si>
    <t>Saudi Arabia</t>
  </si>
  <si>
    <t>Singapore</t>
  </si>
  <si>
    <t>South Korea</t>
  </si>
  <si>
    <t>Sri Lanka</t>
  </si>
  <si>
    <t>Syria</t>
  </si>
  <si>
    <t>Taiwan</t>
  </si>
  <si>
    <t>Tajikistan</t>
  </si>
  <si>
    <t>Thailand</t>
  </si>
  <si>
    <t>Timor-Leste</t>
  </si>
  <si>
    <t>Turkey</t>
  </si>
  <si>
    <t>Turkmenistan</t>
  </si>
  <si>
    <t>United Arab Emirates</t>
  </si>
  <si>
    <t>Uzbekistan</t>
  </si>
  <si>
    <t>Vietnam</t>
  </si>
  <si>
    <t>Yemen</t>
  </si>
  <si>
    <t>Algeria</t>
  </si>
  <si>
    <t>Africa</t>
  </si>
  <si>
    <t>Angola</t>
  </si>
  <si>
    <t>Benin</t>
  </si>
  <si>
    <t>Botswana</t>
  </si>
  <si>
    <t>Burkina Faso</t>
  </si>
  <si>
    <t>Burundi</t>
  </si>
  <si>
    <t>Cabo Verde</t>
  </si>
  <si>
    <t>Cameroon</t>
  </si>
  <si>
    <t>Central African Republic</t>
  </si>
  <si>
    <t>Chad</t>
  </si>
  <si>
    <t>Comoros</t>
  </si>
  <si>
    <t>Democratic Republic of the Congo</t>
  </si>
  <si>
    <t>Republic of the Congo</t>
  </si>
  <si>
    <t>Djibouti</t>
  </si>
  <si>
    <t>Egypt</t>
  </si>
  <si>
    <t>Equatorial Guinea</t>
  </si>
  <si>
    <t>Ethiopia</t>
  </si>
  <si>
    <t>Gabon</t>
  </si>
  <si>
    <t>Gambia</t>
  </si>
  <si>
    <t>Ghana</t>
  </si>
  <si>
    <t>Guinea</t>
  </si>
  <si>
    <t>Guinea-Bissau</t>
  </si>
  <si>
    <t>Ivory Coast</t>
  </si>
  <si>
    <t>Kenya</t>
  </si>
  <si>
    <t>Lesotho</t>
  </si>
  <si>
    <t>Liberia</t>
  </si>
  <si>
    <t>Libya</t>
  </si>
  <si>
    <t>Madagascar</t>
  </si>
  <si>
    <t>Malawi</t>
  </si>
  <si>
    <t>Mali</t>
  </si>
  <si>
    <t>Mauritania</t>
  </si>
  <si>
    <t>Mauritius</t>
  </si>
  <si>
    <t>Morocco</t>
  </si>
  <si>
    <t>Mozambique</t>
  </si>
  <si>
    <t>Namibia</t>
  </si>
  <si>
    <t>Niger</t>
  </si>
  <si>
    <t>Nigeria</t>
  </si>
  <si>
    <t>Rwanda</t>
  </si>
  <si>
    <t>Sao Tome and Principe</t>
  </si>
  <si>
    <t>Senegal</t>
  </si>
  <si>
    <t>Seychelles</t>
  </si>
  <si>
    <t>Sierra Leone</t>
  </si>
  <si>
    <t>Somalia</t>
  </si>
  <si>
    <t>South Africa</t>
  </si>
  <si>
    <t>South Sudan</t>
  </si>
  <si>
    <t>Sudan</t>
  </si>
  <si>
    <t>Tanzania</t>
  </si>
  <si>
    <t>Togo</t>
  </si>
  <si>
    <t>Tunisia</t>
  </si>
  <si>
    <t>Uganda</t>
  </si>
  <si>
    <t>Zambia</t>
  </si>
  <si>
    <t>Zimbabwe</t>
  </si>
  <si>
    <t>Albania</t>
  </si>
  <si>
    <t>Europe</t>
  </si>
  <si>
    <t>Andorra</t>
  </si>
  <si>
    <t>Austria</t>
  </si>
  <si>
    <t>Belarus</t>
  </si>
  <si>
    <t>Belgium</t>
  </si>
  <si>
    <t>Bosnia and Herzegovina</t>
  </si>
  <si>
    <t>Bulgaria</t>
  </si>
  <si>
    <t>Croatia</t>
  </si>
  <si>
    <t>Czechia</t>
  </si>
  <si>
    <t>Denmark</t>
  </si>
  <si>
    <t>Estonia</t>
  </si>
  <si>
    <t>Finland</t>
  </si>
  <si>
    <t>France</t>
  </si>
  <si>
    <t>Germany</t>
  </si>
  <si>
    <t>Greece</t>
  </si>
  <si>
    <t>Hungary</t>
  </si>
  <si>
    <t>Iceland</t>
  </si>
  <si>
    <t>Ireland</t>
  </si>
  <si>
    <t>Italy</t>
  </si>
  <si>
    <t>Kosovo</t>
  </si>
  <si>
    <t>Latvia</t>
  </si>
  <si>
    <t>Liechtenstein</t>
  </si>
  <si>
    <t>Lithuania</t>
  </si>
  <si>
    <t>Luxembourg</t>
  </si>
  <si>
    <t>Malta</t>
  </si>
  <si>
    <t>Moldova</t>
  </si>
  <si>
    <t>Monaco</t>
  </si>
  <si>
    <t>Montenegro</t>
  </si>
  <si>
    <t>Netherlands</t>
  </si>
  <si>
    <t>North Macedonia</t>
  </si>
  <si>
    <t>Norway</t>
  </si>
  <si>
    <t>Poland</t>
  </si>
  <si>
    <t>Portugal</t>
  </si>
  <si>
    <t>Romania</t>
  </si>
  <si>
    <t>San Marino</t>
  </si>
  <si>
    <t>Serbia</t>
  </si>
  <si>
    <t>Slovakia</t>
  </si>
  <si>
    <t>Slovenia</t>
  </si>
  <si>
    <t>Spain</t>
  </si>
  <si>
    <t>Sweden</t>
  </si>
  <si>
    <t>Switzerland</t>
  </si>
  <si>
    <t>Ukraine</t>
  </si>
  <si>
    <t>United Kingdom</t>
  </si>
  <si>
    <t>Vatican City (Holy See)</t>
  </si>
  <si>
    <t>Antigua and Barbuda</t>
  </si>
  <si>
    <t>North America</t>
  </si>
  <si>
    <t>Bahamas</t>
  </si>
  <si>
    <t>Barbados</t>
  </si>
  <si>
    <t>Belize</t>
  </si>
  <si>
    <t>Canada</t>
  </si>
  <si>
    <t>Costa Rica</t>
  </si>
  <si>
    <t>Cuba</t>
  </si>
  <si>
    <t>Dominica</t>
  </si>
  <si>
    <t>Dominican Republic</t>
  </si>
  <si>
    <t>El Salvador</t>
  </si>
  <si>
    <t>Grenada</t>
  </si>
  <si>
    <t>Guatemala</t>
  </si>
  <si>
    <t>Haiti</t>
  </si>
  <si>
    <t>Honduras</t>
  </si>
  <si>
    <t>Jamaica</t>
  </si>
  <si>
    <t>Mexico</t>
  </si>
  <si>
    <t>Nicaragua</t>
  </si>
  <si>
    <t>Panama</t>
  </si>
  <si>
    <t>Saint Kitts and Nevis</t>
  </si>
  <si>
    <t>Saint Lucia</t>
  </si>
  <si>
    <t>Saint Vincent and the Grenadines</t>
  </si>
  <si>
    <t>Trinidad and Tobago</t>
  </si>
  <si>
    <t>United States of America</t>
  </si>
  <si>
    <t>Australia</t>
  </si>
  <si>
    <t>Oceania</t>
  </si>
  <si>
    <t>Fiji</t>
  </si>
  <si>
    <t>Kiribati</t>
  </si>
  <si>
    <t>Marshall Islands</t>
  </si>
  <si>
    <t>Micronesia</t>
  </si>
  <si>
    <t>Nauru</t>
  </si>
  <si>
    <t>New Zealand</t>
  </si>
  <si>
    <t>Palau</t>
  </si>
  <si>
    <t>Papua New Guinea</t>
  </si>
  <si>
    <t>Samoa</t>
  </si>
  <si>
    <t>Solomon Islands</t>
  </si>
  <si>
    <t>Tonga</t>
  </si>
  <si>
    <t>Tuvalu</t>
  </si>
  <si>
    <t>Vanuatu</t>
  </si>
  <si>
    <t>Argentina</t>
  </si>
  <si>
    <t>South America</t>
  </si>
  <si>
    <t>Bolivia</t>
  </si>
  <si>
    <t>Brazil</t>
  </si>
  <si>
    <t>Chile</t>
  </si>
  <si>
    <t>Colombia</t>
  </si>
  <si>
    <t>Ecuador</t>
  </si>
  <si>
    <t>Guyana</t>
  </si>
  <si>
    <t>Paraguay</t>
  </si>
  <si>
    <t>Peru</t>
  </si>
  <si>
    <t>Suriname</t>
  </si>
  <si>
    <t>Uruguay</t>
  </si>
  <si>
    <t>Venezuela</t>
  </si>
  <si>
    <t>Government</t>
  </si>
  <si>
    <t>Carretera</t>
  </si>
  <si>
    <t>Midmarket</t>
  </si>
  <si>
    <t>Montana</t>
  </si>
  <si>
    <t>Channel Partners</t>
  </si>
  <si>
    <t>Enterprise</t>
  </si>
  <si>
    <t>Small Business</t>
  </si>
  <si>
    <t>Paseo</t>
  </si>
  <si>
    <t>Velo</t>
  </si>
  <si>
    <t>VTT</t>
  </si>
  <si>
    <t>Amarilla</t>
  </si>
  <si>
    <t>Segment</t>
  </si>
  <si>
    <t>Profit</t>
  </si>
  <si>
    <t>Market</t>
  </si>
  <si>
    <t>Profit Target</t>
  </si>
  <si>
    <t>Sum of Sales</t>
  </si>
  <si>
    <t>Row Labels</t>
  </si>
  <si>
    <t>Grand Total</t>
  </si>
  <si>
    <t>Sum of Profit</t>
  </si>
  <si>
    <t>Date</t>
  </si>
  <si>
    <t>2013</t>
  </si>
  <si>
    <t>Sep</t>
  </si>
  <si>
    <t>Oct</t>
  </si>
  <si>
    <t>Nov</t>
  </si>
  <si>
    <t>2014</t>
  </si>
  <si>
    <t>Jan</t>
  </si>
  <si>
    <t>Feb</t>
  </si>
  <si>
    <t>May</t>
  </si>
  <si>
    <t>Jun</t>
  </si>
  <si>
    <t>Jul</t>
  </si>
  <si>
    <t>Achived</t>
  </si>
  <si>
    <t>Not Achived</t>
  </si>
  <si>
    <t>Profit Ratio</t>
  </si>
  <si>
    <t xml:space="preserve">Sales by Market </t>
  </si>
  <si>
    <t>Sales by Country</t>
  </si>
  <si>
    <t>Sales by Segment</t>
  </si>
  <si>
    <t>Sales Trend</t>
  </si>
  <si>
    <t>Sales by Product</t>
  </si>
  <si>
    <t>Discount Vs Sales</t>
  </si>
  <si>
    <t>Productwise Average Profit Ratio</t>
  </si>
  <si>
    <t>Productwise Sales in different countries</t>
  </si>
  <si>
    <t>Column Labels</t>
  </si>
  <si>
    <t>Productwise discount and Sales</t>
  </si>
  <si>
    <t>Sum of Discounts</t>
  </si>
  <si>
    <t>Dec</t>
  </si>
  <si>
    <t>Mar</t>
  </si>
  <si>
    <t>Apr</t>
  </si>
  <si>
    <t>Aug</t>
  </si>
  <si>
    <t>Sum of Units Sold</t>
  </si>
  <si>
    <t>MC_US</t>
  </si>
  <si>
    <t>COGS-MC_US</t>
  </si>
  <si>
    <t>Corr Manufacturing</t>
  </si>
  <si>
    <t>Average of Sale Price</t>
  </si>
  <si>
    <t>Product Performance</t>
  </si>
  <si>
    <t>Sales by time</t>
  </si>
  <si>
    <t>Sales by product</t>
  </si>
  <si>
    <t>DiscountBand Vs Sales</t>
  </si>
  <si>
    <t>Sum of Profit Ratio</t>
  </si>
  <si>
    <t>Average of Profit Ratio</t>
  </si>
  <si>
    <t>Sum of COGS</t>
  </si>
  <si>
    <t xml:space="preserve"> $5,29,550.00 </t>
  </si>
  <si>
    <t xml:space="preserve"> $3,93,380.00 </t>
  </si>
  <si>
    <t xml:space="preserve"> $3,33,187.50 </t>
  </si>
  <si>
    <t xml:space="preserve"> $3,19,860.00 </t>
  </si>
  <si>
    <t xml:space="preserve"> $2,87,400.00 </t>
  </si>
  <si>
    <t xml:space="preserve"> $2,39,500.00 </t>
  </si>
  <si>
    <t xml:space="preserve"> $3,52,100.00 </t>
  </si>
  <si>
    <t xml:space="preserve"> $2,61,560.00 </t>
  </si>
  <si>
    <t xml:space="preserve"> $2,36,400.00 </t>
  </si>
  <si>
    <t xml:space="preserve"> $1,97,000.00 </t>
  </si>
  <si>
    <t xml:space="preserve"> $6,03,750.00 </t>
  </si>
  <si>
    <t xml:space="preserve"> $4,48,500.00 </t>
  </si>
  <si>
    <t xml:space="preserve"> $2,25,500.00 </t>
  </si>
  <si>
    <t xml:space="preserve"> $2,16,480.00 </t>
  </si>
  <si>
    <t xml:space="preserve"> $3,52,625.00 </t>
  </si>
  <si>
    <t xml:space="preserve"> $3,38,520.00 </t>
  </si>
  <si>
    <t xml:space="preserve"> $6,00,300.00 </t>
  </si>
  <si>
    <t xml:space="preserve"> $5,00,250.00 </t>
  </si>
  <si>
    <t xml:space="preserve"> $5,34,450.00 </t>
  </si>
  <si>
    <t xml:space="preserve"> $3,97,020.00 </t>
  </si>
  <si>
    <t xml:space="preserve"> $6,45,300.00 </t>
  </si>
  <si>
    <t xml:space="preserve"> $5,37,750.00 </t>
  </si>
  <si>
    <t xml:space="preserve"> $9,62,500.00 </t>
  </si>
  <si>
    <t xml:space="preserve"> $7,15,000.00 </t>
  </si>
  <si>
    <t xml:space="preserve"> $5,27,437.50 </t>
  </si>
  <si>
    <t xml:space="preserve"> $5,06,340.00 </t>
  </si>
  <si>
    <t>$276.15</t>
  </si>
  <si>
    <t>$344.40</t>
  </si>
  <si>
    <t>$72.10</t>
  </si>
  <si>
    <t>$44.73</t>
  </si>
  <si>
    <t>$92.82</t>
  </si>
  <si>
    <t>$222.96</t>
  </si>
  <si>
    <t xml:space="preserve"> $4,23,500.00 </t>
  </si>
  <si>
    <t>$4,235.00</t>
  </si>
  <si>
    <t xml:space="preserve"> $4,19,265.00 </t>
  </si>
  <si>
    <t xml:space="preserve"> $3,14,600.00 </t>
  </si>
  <si>
    <t>$177.03</t>
  </si>
  <si>
    <t>$173.40</t>
  </si>
  <si>
    <t>$412.50</t>
  </si>
  <si>
    <t>$320.52</t>
  </si>
  <si>
    <t>$91.92</t>
  </si>
  <si>
    <t xml:space="preserve"> $1,48,200.00 </t>
  </si>
  <si>
    <t>$1,482.00</t>
  </si>
  <si>
    <t xml:space="preserve"> $1,46,718.00 </t>
  </si>
  <si>
    <t xml:space="preserve"> $1,23,500.00 </t>
  </si>
  <si>
    <t xml:space="preserve"> $4,88,950.00 </t>
  </si>
  <si>
    <t>$4,889.50</t>
  </si>
  <si>
    <t xml:space="preserve"> $4,84,060.50 </t>
  </si>
  <si>
    <t xml:space="preserve"> $3,63,220.00 </t>
  </si>
  <si>
    <t xml:space="preserve"> $7,54,250.00 </t>
  </si>
  <si>
    <t>$7,542.50</t>
  </si>
  <si>
    <t xml:space="preserve"> $7,46,707.50 </t>
  </si>
  <si>
    <t xml:space="preserve"> $5,60,300.00 </t>
  </si>
  <si>
    <t>$332.10</t>
  </si>
  <si>
    <t xml:space="preserve"> $6,90,300.00 </t>
  </si>
  <si>
    <t>$6,903.00</t>
  </si>
  <si>
    <t xml:space="preserve"> $6,83,397.00 </t>
  </si>
  <si>
    <t xml:space="preserve"> $5,75,250.00 </t>
  </si>
  <si>
    <t>$275.10</t>
  </si>
  <si>
    <t>$128.10</t>
  </si>
  <si>
    <t xml:space="preserve"> $7,49,400.00 </t>
  </si>
  <si>
    <t>$7,494.00</t>
  </si>
  <si>
    <t xml:space="preserve"> $7,41,906.00 </t>
  </si>
  <si>
    <t xml:space="preserve"> $6,24,500.00 </t>
  </si>
  <si>
    <t>$828.75</t>
  </si>
  <si>
    <t>$227.10</t>
  </si>
  <si>
    <t>$314.48</t>
  </si>
  <si>
    <t>$908.75</t>
  </si>
  <si>
    <t>$983.75</t>
  </si>
  <si>
    <t xml:space="preserve"> $2,27,875.00 </t>
  </si>
  <si>
    <t>$2,278.75</t>
  </si>
  <si>
    <t xml:space="preserve"> $2,25,596.25 </t>
  </si>
  <si>
    <t xml:space="preserve"> $2,18,760.00 </t>
  </si>
  <si>
    <t>$112.05</t>
  </si>
  <si>
    <t xml:space="preserve"> $8,71,500.00 </t>
  </si>
  <si>
    <t>$8,715.00</t>
  </si>
  <si>
    <t xml:space="preserve"> $8,62,785.00 </t>
  </si>
  <si>
    <t xml:space="preserve"> $7,26,250.00 </t>
  </si>
  <si>
    <t>$772.80</t>
  </si>
  <si>
    <t>$25.34</t>
  </si>
  <si>
    <t xml:space="preserve"> $1,15,375.00 </t>
  </si>
  <si>
    <t>$1,153.75</t>
  </si>
  <si>
    <t xml:space="preserve"> $1,14,221.25 </t>
  </si>
  <si>
    <t xml:space="preserve"> $1,10,760.00 </t>
  </si>
  <si>
    <t>$146.44</t>
  </si>
  <si>
    <t>$18.41</t>
  </si>
  <si>
    <t xml:space="preserve"> $3,30,225.00 </t>
  </si>
  <si>
    <t>$3,302.25</t>
  </si>
  <si>
    <t xml:space="preserve"> $3,26,922.75 </t>
  </si>
  <si>
    <t xml:space="preserve"> $2,45,310.00 </t>
  </si>
  <si>
    <t xml:space="preserve"> $2,95,800.00 </t>
  </si>
  <si>
    <t>$2,958.00</t>
  </si>
  <si>
    <t xml:space="preserve"> $2,92,842.00 </t>
  </si>
  <si>
    <t xml:space="preserve"> $2,46,500.00 </t>
  </si>
  <si>
    <t xml:space="preserve"> $2,18,000.00 </t>
  </si>
  <si>
    <t>$2,180.00</t>
  </si>
  <si>
    <t xml:space="preserve"> $2,15,820.00 </t>
  </si>
  <si>
    <t xml:space="preserve"> $2,09,280.00 </t>
  </si>
  <si>
    <t>$238.68</t>
  </si>
  <si>
    <t>$48.15</t>
  </si>
  <si>
    <t>$1,856.25</t>
  </si>
  <si>
    <t>$310.80</t>
  </si>
  <si>
    <t>$1,284.00</t>
  </si>
  <si>
    <t>$300.30</t>
  </si>
  <si>
    <t xml:space="preserve"> $9,98,200.00 </t>
  </si>
  <si>
    <t>$19,964.00</t>
  </si>
  <si>
    <t xml:space="preserve"> $9,78,236.00 </t>
  </si>
  <si>
    <t xml:space="preserve"> $7,41,520.00 </t>
  </si>
  <si>
    <t>$274.08</t>
  </si>
  <si>
    <t>$626.40</t>
  </si>
  <si>
    <t>$165.60</t>
  </si>
  <si>
    <t xml:space="preserve"> $2,07,500.00 </t>
  </si>
  <si>
    <t>$4,150.00</t>
  </si>
  <si>
    <t xml:space="preserve"> $2,03,350.00 </t>
  </si>
  <si>
    <t xml:space="preserve"> $1,99,200.00 </t>
  </si>
  <si>
    <t>$708.90</t>
  </si>
  <si>
    <t xml:space="preserve"> $2,75,400.00 </t>
  </si>
  <si>
    <t>$5,508.00</t>
  </si>
  <si>
    <t xml:space="preserve"> $2,69,892.00 </t>
  </si>
  <si>
    <t xml:space="preserve"> $2,29,500.00 </t>
  </si>
  <si>
    <t xml:space="preserve"> $5,18,400.00 </t>
  </si>
  <si>
    <t>$10,368.00</t>
  </si>
  <si>
    <t xml:space="preserve"> $5,08,032.00 </t>
  </si>
  <si>
    <t xml:space="preserve"> $4,32,000.00 </t>
  </si>
  <si>
    <t>$1,655.00</t>
  </si>
  <si>
    <t xml:space="preserve"> $1,01,125.00 </t>
  </si>
  <si>
    <t>$2,022.50</t>
  </si>
  <si>
    <t xml:space="preserve"> $2,68,125.00 </t>
  </si>
  <si>
    <t>$5,362.50</t>
  </si>
  <si>
    <t xml:space="preserve"> $2,62,762.50 </t>
  </si>
  <si>
    <t xml:space="preserve"> $2,57,400.00 </t>
  </si>
  <si>
    <t>$428.40</t>
  </si>
  <si>
    <t xml:space="preserve"> $5,74,800.00 </t>
  </si>
  <si>
    <t>$11,496.00</t>
  </si>
  <si>
    <t xml:space="preserve"> $5,63,304.00 </t>
  </si>
  <si>
    <t xml:space="preserve"> $4,79,000.00 </t>
  </si>
  <si>
    <t xml:space="preserve"> $3,41,125.00 </t>
  </si>
  <si>
    <t>$6,822.50</t>
  </si>
  <si>
    <t xml:space="preserve"> $3,34,302.50 </t>
  </si>
  <si>
    <t xml:space="preserve"> $3,27,480.00 </t>
  </si>
  <si>
    <t>$577.50</t>
  </si>
  <si>
    <t>$281.82</t>
  </si>
  <si>
    <t>$253.20</t>
  </si>
  <si>
    <t>$260.16</t>
  </si>
  <si>
    <t xml:space="preserve"> $10,38,100.00 </t>
  </si>
  <si>
    <t>$20,762.00</t>
  </si>
  <si>
    <t xml:space="preserve"> $10,17,338.00 </t>
  </si>
  <si>
    <t xml:space="preserve"> $7,71,160.00 </t>
  </si>
  <si>
    <t xml:space="preserve"> $10,06,950.00 </t>
  </si>
  <si>
    <t>$20,139.00</t>
  </si>
  <si>
    <t xml:space="preserve"> $9,86,811.00 </t>
  </si>
  <si>
    <t xml:space="preserve"> $7,48,020.00 </t>
  </si>
  <si>
    <t>$217.60</t>
  </si>
  <si>
    <t>$1,862.00</t>
  </si>
  <si>
    <t xml:space="preserve"> $6,79,000.00 </t>
  </si>
  <si>
    <t>$13,580.00</t>
  </si>
  <si>
    <t xml:space="preserve"> $6,65,420.00 </t>
  </si>
  <si>
    <t xml:space="preserve"> $5,04,400.00 </t>
  </si>
  <si>
    <t>$1,554.00</t>
  </si>
  <si>
    <t xml:space="preserve"> $3,30,300.00 </t>
  </si>
  <si>
    <t>$6,606.00</t>
  </si>
  <si>
    <t xml:space="preserve"> $3,23,694.00 </t>
  </si>
  <si>
    <t xml:space="preserve"> $2,75,250.00 </t>
  </si>
  <si>
    <t xml:space="preserve"> $2,84,500.00 </t>
  </si>
  <si>
    <t>$5,690.00</t>
  </si>
  <si>
    <t xml:space="preserve"> $2,78,810.00 </t>
  </si>
  <si>
    <t xml:space="preserve"> $2,73,120.00 </t>
  </si>
  <si>
    <t>$494.40</t>
  </si>
  <si>
    <t>$376.40</t>
  </si>
  <si>
    <t xml:space="preserve"> $5,30,437.50 </t>
  </si>
  <si>
    <t>$15,913.13</t>
  </si>
  <si>
    <t xml:space="preserve"> $5,14,524.38 </t>
  </si>
  <si>
    <t xml:space="preserve"> $5,09,220.00 </t>
  </si>
  <si>
    <t>$1,548.00</t>
  </si>
  <si>
    <t xml:space="preserve"> $2,06,700.00 </t>
  </si>
  <si>
    <t>$6,201.00</t>
  </si>
  <si>
    <t xml:space="preserve"> $2,00,499.00 </t>
  </si>
  <si>
    <t xml:space="preserve"> $1,72,250.00 </t>
  </si>
  <si>
    <t>$700.92</t>
  </si>
  <si>
    <t>$326.88</t>
  </si>
  <si>
    <t>$411.18</t>
  </si>
  <si>
    <t>$684.36</t>
  </si>
  <si>
    <t>$114.24</t>
  </si>
  <si>
    <t xml:space="preserve"> $6,28,950.00 </t>
  </si>
  <si>
    <t>$18,868.50</t>
  </si>
  <si>
    <t xml:space="preserve"> $6,10,081.50 </t>
  </si>
  <si>
    <t xml:space="preserve"> $4,67,220.00 </t>
  </si>
  <si>
    <t xml:space="preserve"> $1,60,875.00 </t>
  </si>
  <si>
    <t>$4,826.25</t>
  </si>
  <si>
    <t xml:space="preserve"> $1,56,048.75 </t>
  </si>
  <si>
    <t xml:space="preserve"> $1,54,440.00 </t>
  </si>
  <si>
    <t xml:space="preserve"> $2,13,250.00 </t>
  </si>
  <si>
    <t>$6,397.50</t>
  </si>
  <si>
    <t xml:space="preserve"> $2,06,852.50 </t>
  </si>
  <si>
    <t xml:space="preserve"> $2,04,720.00 </t>
  </si>
  <si>
    <t xml:space="preserve"> $7,30,350.00 </t>
  </si>
  <si>
    <t>$21,910.50</t>
  </si>
  <si>
    <t xml:space="preserve"> $7,08,439.50 </t>
  </si>
  <si>
    <t xml:space="preserve"> $6,08,625.00 </t>
  </si>
  <si>
    <t xml:space="preserve"> $2,21,750.00 </t>
  </si>
  <si>
    <t>$6,652.50</t>
  </si>
  <si>
    <t xml:space="preserve"> $2,15,097.50 </t>
  </si>
  <si>
    <t xml:space="preserve"> $2,12,880.00 </t>
  </si>
  <si>
    <t xml:space="preserve"> $1,96,250.00 </t>
  </si>
  <si>
    <t>$5,887.50</t>
  </si>
  <si>
    <t xml:space="preserve"> $1,90,362.50 </t>
  </si>
  <si>
    <t xml:space="preserve"> $1,88,400.00 </t>
  </si>
  <si>
    <t>$493.02</t>
  </si>
  <si>
    <t xml:space="preserve"> $2,51,125.00 </t>
  </si>
  <si>
    <t>$7,533.75</t>
  </si>
  <si>
    <t xml:space="preserve"> $2,43,591.25 </t>
  </si>
  <si>
    <t xml:space="preserve"> $2,41,080.00 </t>
  </si>
  <si>
    <t>$875.25</t>
  </si>
  <si>
    <t xml:space="preserve"> $8,53,200.00 </t>
  </si>
  <si>
    <t>$25,596.00</t>
  </si>
  <si>
    <t xml:space="preserve"> $8,27,604.00 </t>
  </si>
  <si>
    <t xml:space="preserve"> $7,11,000.00 </t>
  </si>
  <si>
    <t>$689.76</t>
  </si>
  <si>
    <t xml:space="preserve"> $5,62,200.00 </t>
  </si>
  <si>
    <t>$16,866.00</t>
  </si>
  <si>
    <t xml:space="preserve"> $5,45,334.00 </t>
  </si>
  <si>
    <t xml:space="preserve"> $4,68,500.00 </t>
  </si>
  <si>
    <t xml:space="preserve"> $5,74,700.00 </t>
  </si>
  <si>
    <t>$17,241.00</t>
  </si>
  <si>
    <t xml:space="preserve"> $5,57,459.00 </t>
  </si>
  <si>
    <t xml:space="preserve"> $4,26,920.00 </t>
  </si>
  <si>
    <t>$498.60</t>
  </si>
  <si>
    <t>$369.60</t>
  </si>
  <si>
    <t>$2,310.30</t>
  </si>
  <si>
    <t>$892.44</t>
  </si>
  <si>
    <t>$1,218.60</t>
  </si>
  <si>
    <t>$1,356.60</t>
  </si>
  <si>
    <t>$588.80</t>
  </si>
  <si>
    <t>$798.28</t>
  </si>
  <si>
    <t xml:space="preserve"> $6,06,300.00 </t>
  </si>
  <si>
    <t>$24,252.00</t>
  </si>
  <si>
    <t xml:space="preserve"> $5,82,048.00 </t>
  </si>
  <si>
    <t xml:space="preserve"> $5,05,250.00 </t>
  </si>
  <si>
    <t>$3,836.00</t>
  </si>
  <si>
    <t>$1,180.20</t>
  </si>
  <si>
    <t xml:space="preserve"> $5,57,700.00 </t>
  </si>
  <si>
    <t>$22,308.00</t>
  </si>
  <si>
    <t xml:space="preserve"> $5,35,392.00 </t>
  </si>
  <si>
    <t xml:space="preserve"> $4,64,750.00 </t>
  </si>
  <si>
    <t xml:space="preserve"> $1,42,250.00 </t>
  </si>
  <si>
    <t xml:space="preserve"> $1,36,560.00 </t>
  </si>
  <si>
    <t>$1,190.28</t>
  </si>
  <si>
    <t>$3,975.00</t>
  </si>
  <si>
    <t xml:space="preserve"> $4,24,350.00 </t>
  </si>
  <si>
    <t>$16,974.00</t>
  </si>
  <si>
    <t xml:space="preserve"> $4,07,376.00 </t>
  </si>
  <si>
    <t xml:space="preserve"> $3,53,625.00 </t>
  </si>
  <si>
    <t xml:space="preserve"> $8,75,400.00 </t>
  </si>
  <si>
    <t>$35,016.00</t>
  </si>
  <si>
    <t xml:space="preserve"> $8,40,384.00 </t>
  </si>
  <si>
    <t xml:space="preserve"> $7,29,500.00 </t>
  </si>
  <si>
    <t xml:space="preserve"> $12,07,500.00 </t>
  </si>
  <si>
    <t>$48,300.00</t>
  </si>
  <si>
    <t xml:space="preserve"> $11,59,200.00 </t>
  </si>
  <si>
    <t xml:space="preserve"> $8,97,000.00 </t>
  </si>
  <si>
    <t xml:space="preserve"> $3,73,500.00 </t>
  </si>
  <si>
    <t>$14,940.00</t>
  </si>
  <si>
    <t xml:space="preserve"> $3,58,560.00 </t>
  </si>
  <si>
    <t>$130.80</t>
  </si>
  <si>
    <t>$1,659.20</t>
  </si>
  <si>
    <t>$844.80</t>
  </si>
  <si>
    <t>$402.60</t>
  </si>
  <si>
    <t>$908.40</t>
  </si>
  <si>
    <t>$703.20</t>
  </si>
  <si>
    <t>$2,116.80</t>
  </si>
  <si>
    <t xml:space="preserve"> $7,61,950.00 </t>
  </si>
  <si>
    <t>$30,478.00</t>
  </si>
  <si>
    <t xml:space="preserve"> $7,31,472.00 </t>
  </si>
  <si>
    <t xml:space="preserve"> $5,66,020.00 </t>
  </si>
  <si>
    <t>$415.68</t>
  </si>
  <si>
    <t xml:space="preserve"> $1,22,150.00 </t>
  </si>
  <si>
    <t>$4,886.00</t>
  </si>
  <si>
    <t xml:space="preserve"> $1,17,264.00 </t>
  </si>
  <si>
    <t xml:space="preserve"> $6,52,750.00 </t>
  </si>
  <si>
    <t>$26,110.00</t>
  </si>
  <si>
    <t xml:space="preserve"> $6,26,640.00 </t>
  </si>
  <si>
    <t xml:space="preserve"> $4,84,900.00 </t>
  </si>
  <si>
    <t xml:space="preserve"> $1,34,250.00 </t>
  </si>
  <si>
    <t>$5,370.00</t>
  </si>
  <si>
    <t xml:space="preserve"> $1,28,880.00 </t>
  </si>
  <si>
    <t xml:space="preserve"> $6,67,450.00 </t>
  </si>
  <si>
    <t>$26,698.00</t>
  </si>
  <si>
    <t xml:space="preserve"> $6,40,752.00 </t>
  </si>
  <si>
    <t xml:space="preserve"> $4,95,820.00 </t>
  </si>
  <si>
    <t xml:space="preserve"> $6,22,300.00 </t>
  </si>
  <si>
    <t>$24,892.00</t>
  </si>
  <si>
    <t xml:space="preserve"> $5,97,408.00 </t>
  </si>
  <si>
    <t xml:space="preserve"> $4,62,280.00 </t>
  </si>
  <si>
    <t>$405.65</t>
  </si>
  <si>
    <t>$480.20</t>
  </si>
  <si>
    <t>$822.15</t>
  </si>
  <si>
    <t>$941.15</t>
  </si>
  <si>
    <t>$1,458.60</t>
  </si>
  <si>
    <t>$589.05</t>
  </si>
  <si>
    <t>$673.80</t>
  </si>
  <si>
    <t>$1,119.00</t>
  </si>
  <si>
    <t>$669.60</t>
  </si>
  <si>
    <t>$1,563.00</t>
  </si>
  <si>
    <t xml:space="preserve"> $2,97,300.00 </t>
  </si>
  <si>
    <t>$14,865.00</t>
  </si>
  <si>
    <t xml:space="preserve"> $2,82,435.00 </t>
  </si>
  <si>
    <t xml:space="preserve"> $2,47,750.00 </t>
  </si>
  <si>
    <t>$355.60</t>
  </si>
  <si>
    <t>$2,093.25</t>
  </si>
  <si>
    <t>$199.50</t>
  </si>
  <si>
    <t>$870.45</t>
  </si>
  <si>
    <t xml:space="preserve"> $4,84,575.00 </t>
  </si>
  <si>
    <t>$24,228.75</t>
  </si>
  <si>
    <t xml:space="preserve"> $4,60,346.25 </t>
  </si>
  <si>
    <t xml:space="preserve"> $3,59,970.00 </t>
  </si>
  <si>
    <t xml:space="preserve"> $4,53,375.00 </t>
  </si>
  <si>
    <t>$22,668.75</t>
  </si>
  <si>
    <t xml:space="preserve"> $4,30,706.25 </t>
  </si>
  <si>
    <t xml:space="preserve"> $4,35,240.00 </t>
  </si>
  <si>
    <t xml:space="preserve"> $2,52,000.00 </t>
  </si>
  <si>
    <t>$12,600.00</t>
  </si>
  <si>
    <t xml:space="preserve"> $2,39,400.00 </t>
  </si>
  <si>
    <t xml:space="preserve"> $1,87,200.00 </t>
  </si>
  <si>
    <t>$1,405.20</t>
  </si>
  <si>
    <t xml:space="preserve"> $3,30,000.00 </t>
  </si>
  <si>
    <t>$16,500.00</t>
  </si>
  <si>
    <t xml:space="preserve"> $3,13,500.00 </t>
  </si>
  <si>
    <t xml:space="preserve"> $2,75,000.00 </t>
  </si>
  <si>
    <t>$1,303.00</t>
  </si>
  <si>
    <t xml:space="preserve"> $3,74,000.00 </t>
  </si>
  <si>
    <t>$18,700.00</t>
  </si>
  <si>
    <t xml:space="preserve"> $3,55,300.00 </t>
  </si>
  <si>
    <t xml:space="preserve"> $3,59,040.00 </t>
  </si>
  <si>
    <t xml:space="preserve"> $2,98,125.00 </t>
  </si>
  <si>
    <t>$14,906.25</t>
  </si>
  <si>
    <t xml:space="preserve"> $2,83,218.75 </t>
  </si>
  <si>
    <t xml:space="preserve"> $2,86,200.00 </t>
  </si>
  <si>
    <t xml:space="preserve"> $4,82,100.00 </t>
  </si>
  <si>
    <t>$24,105.00</t>
  </si>
  <si>
    <t xml:space="preserve"> $4,57,995.00 </t>
  </si>
  <si>
    <t xml:space="preserve"> $4,01,750.00 </t>
  </si>
  <si>
    <t>$814.45</t>
  </si>
  <si>
    <t xml:space="preserve"> $2,10,700.00 </t>
  </si>
  <si>
    <t>$10,535.00</t>
  </si>
  <si>
    <t xml:space="preserve"> $2,00,165.00 </t>
  </si>
  <si>
    <t xml:space="preserve"> $1,56,520.00 </t>
  </si>
  <si>
    <t>$1,965.00</t>
  </si>
  <si>
    <t xml:space="preserve"> $4,29,800.00 </t>
  </si>
  <si>
    <t>$21,490.00</t>
  </si>
  <si>
    <t xml:space="preserve"> $4,08,310.00 </t>
  </si>
  <si>
    <t xml:space="preserve"> $3,19,280.00 </t>
  </si>
  <si>
    <t>$1,389.00</t>
  </si>
  <si>
    <t xml:space="preserve"> $1,07,625.00 </t>
  </si>
  <si>
    <t>$5,381.25</t>
  </si>
  <si>
    <t xml:space="preserve"> $1,02,243.75 </t>
  </si>
  <si>
    <t xml:space="preserve"> $1,03,320.00 </t>
  </si>
  <si>
    <t>$4,400.00</t>
  </si>
  <si>
    <t>$1,802.00</t>
  </si>
  <si>
    <t>$2,663.00</t>
  </si>
  <si>
    <t>$747.60</t>
  </si>
  <si>
    <t>$1,587.00</t>
  </si>
  <si>
    <t>$416.25</t>
  </si>
  <si>
    <t>$2,145.75</t>
  </si>
  <si>
    <t xml:space="preserve"> $1,00,875.00 </t>
  </si>
  <si>
    <t>$5,043.75</t>
  </si>
  <si>
    <t>$2,832.00</t>
  </si>
  <si>
    <t>$1,579.00</t>
  </si>
  <si>
    <t>$1,033.00</t>
  </si>
  <si>
    <t xml:space="preserve"> $3,75,000.00 </t>
  </si>
  <si>
    <t>$18,750.00</t>
  </si>
  <si>
    <t xml:space="preserve"> $3,56,250.00 </t>
  </si>
  <si>
    <t xml:space="preserve"> $3,12,500.00 </t>
  </si>
  <si>
    <t>$1,265.00</t>
  </si>
  <si>
    <t>$2,297.00</t>
  </si>
  <si>
    <t xml:space="preserve"> $4,72,500.00 </t>
  </si>
  <si>
    <t>$23,625.00</t>
  </si>
  <si>
    <t xml:space="preserve"> $4,48,875.00 </t>
  </si>
  <si>
    <t xml:space="preserve"> $3,51,000.00 </t>
  </si>
  <si>
    <t xml:space="preserve"> $1,93,200.00 </t>
  </si>
  <si>
    <t>$9,660.00</t>
  </si>
  <si>
    <t xml:space="preserve"> $1,83,540.00 </t>
  </si>
  <si>
    <t xml:space="preserve"> $1,43,520.00 </t>
  </si>
  <si>
    <t>$3,420.90</t>
  </si>
  <si>
    <t>$1,341.00</t>
  </si>
  <si>
    <t>$2,559.60</t>
  </si>
  <si>
    <t>$404.64</t>
  </si>
  <si>
    <t>$1,655.28</t>
  </si>
  <si>
    <t>$1,827.00</t>
  </si>
  <si>
    <t>$110.46</t>
  </si>
  <si>
    <t xml:space="preserve"> $1,10,875.00 </t>
  </si>
  <si>
    <t xml:space="preserve"> $1,04,222.50 </t>
  </si>
  <si>
    <t xml:space="preserve"> $1,06,440.00 </t>
  </si>
  <si>
    <t xml:space="preserve"> $3,43,000.00 </t>
  </si>
  <si>
    <t>$20,580.00</t>
  </si>
  <si>
    <t xml:space="preserve"> $3,22,420.00 </t>
  </si>
  <si>
    <t xml:space="preserve"> $2,54,800.00 </t>
  </si>
  <si>
    <t xml:space="preserve"> $5,11,000.00 </t>
  </si>
  <si>
    <t>$30,660.00</t>
  </si>
  <si>
    <t xml:space="preserve"> $4,80,340.00 </t>
  </si>
  <si>
    <t xml:space="preserve"> $3,79,600.00 </t>
  </si>
  <si>
    <t>$589.26</t>
  </si>
  <si>
    <t>$1,960.56</t>
  </si>
  <si>
    <t xml:space="preserve"> $5,23,600.00 </t>
  </si>
  <si>
    <t>$31,416.00</t>
  </si>
  <si>
    <t xml:space="preserve"> $4,92,184.00 </t>
  </si>
  <si>
    <t xml:space="preserve"> $3,88,960.00 </t>
  </si>
  <si>
    <t xml:space="preserve"> $2,54,450.00 </t>
  </si>
  <si>
    <t>$15,267.00</t>
  </si>
  <si>
    <t xml:space="preserve"> $2,39,183.00 </t>
  </si>
  <si>
    <t xml:space="preserve"> $1,89,020.00 </t>
  </si>
  <si>
    <t xml:space="preserve"> $1,19,000.00 </t>
  </si>
  <si>
    <t>$7,140.00</t>
  </si>
  <si>
    <t xml:space="preserve"> $1,11,860.00 </t>
  </si>
  <si>
    <t xml:space="preserve"> $1,14,240.00 </t>
  </si>
  <si>
    <t xml:space="preserve"> $3,44,375.00 </t>
  </si>
  <si>
    <t>$20,662.50</t>
  </si>
  <si>
    <t xml:space="preserve"> $3,23,712.50 </t>
  </si>
  <si>
    <t xml:space="preserve"> $3,30,600.00 </t>
  </si>
  <si>
    <t>$1,377.00</t>
  </si>
  <si>
    <t>$629.16</t>
  </si>
  <si>
    <t xml:space="preserve"> $3,66,300.00 </t>
  </si>
  <si>
    <t>$21,978.00</t>
  </si>
  <si>
    <t xml:space="preserve"> $3,44,322.00 </t>
  </si>
  <si>
    <t xml:space="preserve"> $3,05,250.00 </t>
  </si>
  <si>
    <t xml:space="preserve"> $7,26,600.00 </t>
  </si>
  <si>
    <t>$43,596.00</t>
  </si>
  <si>
    <t xml:space="preserve"> $6,83,004.00 </t>
  </si>
  <si>
    <t xml:space="preserve"> $5,39,760.00 </t>
  </si>
  <si>
    <t>$1,347.60</t>
  </si>
  <si>
    <t xml:space="preserve"> $7,30,800.00 </t>
  </si>
  <si>
    <t>$43,848.00</t>
  </si>
  <si>
    <t xml:space="preserve"> $6,86,952.00 </t>
  </si>
  <si>
    <t xml:space="preserve"> $6,09,000.00 </t>
  </si>
  <si>
    <t xml:space="preserve"> $2,48,437.50 </t>
  </si>
  <si>
    <t xml:space="preserve"> $2,33,531.25 </t>
  </si>
  <si>
    <t xml:space="preserve"> $2,38,500.00 </t>
  </si>
  <si>
    <t xml:space="preserve"> $5,87,650.00 </t>
  </si>
  <si>
    <t>$35,259.00</t>
  </si>
  <si>
    <t xml:space="preserve"> $5,52,391.00 </t>
  </si>
  <si>
    <t xml:space="preserve"> $4,36,540.00 </t>
  </si>
  <si>
    <t>$2,108.40</t>
  </si>
  <si>
    <t>$1,978.20</t>
  </si>
  <si>
    <t>$1,568.70</t>
  </si>
  <si>
    <t>$1,037.70</t>
  </si>
  <si>
    <t>$1,201.20</t>
  </si>
  <si>
    <t>$559.86</t>
  </si>
  <si>
    <t>$610.68</t>
  </si>
  <si>
    <t>$1,582.56</t>
  </si>
  <si>
    <t>$2,567.60</t>
  </si>
  <si>
    <t>$1,965.60</t>
  </si>
  <si>
    <t>$1,967.28</t>
  </si>
  <si>
    <t>$505.19</t>
  </si>
  <si>
    <t>$1,325.10</t>
  </si>
  <si>
    <t>$556.15</t>
  </si>
  <si>
    <t>$268.03</t>
  </si>
  <si>
    <t>$775.18</t>
  </si>
  <si>
    <t>$1,460.34</t>
  </si>
  <si>
    <t>$1,860.60</t>
  </si>
  <si>
    <t xml:space="preserve"> $6,16,350.00 </t>
  </si>
  <si>
    <t>$43,144.50</t>
  </si>
  <si>
    <t xml:space="preserve"> $5,73,205.50 </t>
  </si>
  <si>
    <t xml:space="preserve"> $4,57,860.00 </t>
  </si>
  <si>
    <t xml:space="preserve"> $1,34,400.00 </t>
  </si>
  <si>
    <t>$9,408.00</t>
  </si>
  <si>
    <t xml:space="preserve"> $1,24,992.00 </t>
  </si>
  <si>
    <t xml:space="preserve"> $1,12,000.00 </t>
  </si>
  <si>
    <t xml:space="preserve"> $6,54,300.00 </t>
  </si>
  <si>
    <t>$45,801.00</t>
  </si>
  <si>
    <t xml:space="preserve"> $6,08,499.00 </t>
  </si>
  <si>
    <t xml:space="preserve"> $5,45,250.00 </t>
  </si>
  <si>
    <t>$2,766.40</t>
  </si>
  <si>
    <t>$21,875.00</t>
  </si>
  <si>
    <t xml:space="preserve"> $2,90,625.00 </t>
  </si>
  <si>
    <t xml:space="preserve"> $3,00,000.00 </t>
  </si>
  <si>
    <t xml:space="preserve"> $5,10,600.00 </t>
  </si>
  <si>
    <t>$35,742.00</t>
  </si>
  <si>
    <t xml:space="preserve"> $4,74,858.00 </t>
  </si>
  <si>
    <t xml:space="preserve"> $4,25,500.00 </t>
  </si>
  <si>
    <t xml:space="preserve"> $4,39,125.00 </t>
  </si>
  <si>
    <t>$30,738.75</t>
  </si>
  <si>
    <t xml:space="preserve"> $4,08,386.25 </t>
  </si>
  <si>
    <t xml:space="preserve"> $4,21,560.00 </t>
  </si>
  <si>
    <t>$2,206.05</t>
  </si>
  <si>
    <t>$3,077.55</t>
  </si>
  <si>
    <t>$2,149.00</t>
  </si>
  <si>
    <t xml:space="preserve"> $3,36,900.00 </t>
  </si>
  <si>
    <t>$23,583.00</t>
  </si>
  <si>
    <t xml:space="preserve"> $3,13,317.00 </t>
  </si>
  <si>
    <t xml:space="preserve"> $2,80,750.00 </t>
  </si>
  <si>
    <t xml:space="preserve"> $4,21,200.00 </t>
  </si>
  <si>
    <t>$29,484.00</t>
  </si>
  <si>
    <t xml:space="preserve"> $3,91,716.00 </t>
  </si>
  <si>
    <t>$2,320.92</t>
  </si>
  <si>
    <t>$1,041.25</t>
  </si>
  <si>
    <t xml:space="preserve"> $4,97,700.00 </t>
  </si>
  <si>
    <t>$34,839.00</t>
  </si>
  <si>
    <t xml:space="preserve"> $4,62,861.00 </t>
  </si>
  <si>
    <t xml:space="preserve"> $4,14,750.00 </t>
  </si>
  <si>
    <t>$852.60</t>
  </si>
  <si>
    <t xml:space="preserve"> $2,60,875.00 </t>
  </si>
  <si>
    <t>$18,261.25</t>
  </si>
  <si>
    <t xml:space="preserve"> $2,42,613.75 </t>
  </si>
  <si>
    <t xml:space="preserve"> $2,50,440.00 </t>
  </si>
  <si>
    <t>$1,989.40</t>
  </si>
  <si>
    <t xml:space="preserve"> $4,11,600.00 </t>
  </si>
  <si>
    <t>$28,812.00</t>
  </si>
  <si>
    <t xml:space="preserve"> $3,82,788.00 </t>
  </si>
  <si>
    <t>$823.20</t>
  </si>
  <si>
    <t>$2,725.38</t>
  </si>
  <si>
    <t xml:space="preserve"> $2,87,700.00 </t>
  </si>
  <si>
    <t xml:space="preserve"> $2,67,561.00 </t>
  </si>
  <si>
    <t xml:space="preserve"> $2,39,750.00 </t>
  </si>
  <si>
    <t xml:space="preserve"> $8,24,100.00 </t>
  </si>
  <si>
    <t>$57,687.00</t>
  </si>
  <si>
    <t xml:space="preserve"> $7,66,413.00 </t>
  </si>
  <si>
    <t xml:space="preserve"> $6,86,750.00 </t>
  </si>
  <si>
    <t xml:space="preserve"> $2,05,625.00 </t>
  </si>
  <si>
    <t>$14,393.75</t>
  </si>
  <si>
    <t xml:space="preserve"> $1,91,231.25 </t>
  </si>
  <si>
    <t xml:space="preserve"> $1,97,400.00 </t>
  </si>
  <si>
    <t xml:space="preserve"> $10,06,600.00 </t>
  </si>
  <si>
    <t>$70,462.00</t>
  </si>
  <si>
    <t xml:space="preserve"> $9,36,138.00 </t>
  </si>
  <si>
    <t xml:space="preserve"> $7,47,760.00 </t>
  </si>
  <si>
    <t xml:space="preserve"> $1,24,250.00 </t>
  </si>
  <si>
    <t>$8,697.50</t>
  </si>
  <si>
    <t xml:space="preserve"> $1,15,552.50 </t>
  </si>
  <si>
    <t xml:space="preserve"> $1,19,280.00 </t>
  </si>
  <si>
    <t>$1,565.20</t>
  </si>
  <si>
    <t>$273.28</t>
  </si>
  <si>
    <t>$2,051.20</t>
  </si>
  <si>
    <t>$143.92</t>
  </si>
  <si>
    <t xml:space="preserve"> $1,92,500.00 </t>
  </si>
  <si>
    <t>$15,400.00</t>
  </si>
  <si>
    <t xml:space="preserve"> $1,77,100.00 </t>
  </si>
  <si>
    <t xml:space="preserve"> $1,84,800.00 </t>
  </si>
  <si>
    <t>$588.00</t>
  </si>
  <si>
    <t xml:space="preserve"> $4,76,700.00 </t>
  </si>
  <si>
    <t>$38,136.00</t>
  </si>
  <si>
    <t xml:space="preserve"> $4,38,564.00 </t>
  </si>
  <si>
    <t xml:space="preserve"> $3,54,120.00 </t>
  </si>
  <si>
    <t>$3,001.20</t>
  </si>
  <si>
    <t>$1,132.80</t>
  </si>
  <si>
    <t>$1,032.00</t>
  </si>
  <si>
    <t xml:space="preserve"> $4,68,600.00 </t>
  </si>
  <si>
    <t>$37,488.00</t>
  </si>
  <si>
    <t xml:space="preserve"> $4,31,112.00 </t>
  </si>
  <si>
    <t xml:space="preserve"> $3,90,500.00 </t>
  </si>
  <si>
    <t xml:space="preserve"> $3,84,900.00 </t>
  </si>
  <si>
    <t>$30,792.00</t>
  </si>
  <si>
    <t xml:space="preserve"> $3,54,108.00 </t>
  </si>
  <si>
    <t xml:space="preserve"> $3,20,750.00 </t>
  </si>
  <si>
    <t>$853.20</t>
  </si>
  <si>
    <t xml:space="preserve"> $1,39,250.00 </t>
  </si>
  <si>
    <t>$11,140.00</t>
  </si>
  <si>
    <t xml:space="preserve"> $1,28,110.00 </t>
  </si>
  <si>
    <t xml:space="preserve"> $1,33,680.00 </t>
  </si>
  <si>
    <t>$705.04</t>
  </si>
  <si>
    <t>$613.20</t>
  </si>
  <si>
    <t>$2,185.60</t>
  </si>
  <si>
    <t xml:space="preserve"> $7,38,000.00 </t>
  </si>
  <si>
    <t>$59,040.00</t>
  </si>
  <si>
    <t xml:space="preserve"> $6,78,960.00 </t>
  </si>
  <si>
    <t xml:space="preserve"> $6,15,000.00 </t>
  </si>
  <si>
    <t>$379.68</t>
  </si>
  <si>
    <t>$894.88</t>
  </si>
  <si>
    <t>$1,349.04</t>
  </si>
  <si>
    <t>$3,094.40</t>
  </si>
  <si>
    <t>$4,788.80</t>
  </si>
  <si>
    <t xml:space="preserve"> $7,51,100.00 </t>
  </si>
  <si>
    <t>$60,088.00</t>
  </si>
  <si>
    <t xml:space="preserve"> $6,91,012.00 </t>
  </si>
  <si>
    <t xml:space="preserve"> $5,57,960.00 </t>
  </si>
  <si>
    <t>$1,089.76</t>
  </si>
  <si>
    <t>$574.08</t>
  </si>
  <si>
    <t>$1,627.92</t>
  </si>
  <si>
    <t>$1,309.28</t>
  </si>
  <si>
    <t xml:space="preserve"> $1,15,800.00 </t>
  </si>
  <si>
    <t>$9,264.00</t>
  </si>
  <si>
    <t xml:space="preserve"> $1,06,536.00 </t>
  </si>
  <si>
    <t xml:space="preserve"> $1,90,500.00 </t>
  </si>
  <si>
    <t>$15,240.00</t>
  </si>
  <si>
    <t xml:space="preserve"> $1,75,260.00 </t>
  </si>
  <si>
    <t xml:space="preserve"> $1,58,750.00 </t>
  </si>
  <si>
    <t xml:space="preserve"> $2,01,075.00 </t>
  </si>
  <si>
    <t>$16,086.00</t>
  </si>
  <si>
    <t xml:space="preserve"> $1,84,989.00 </t>
  </si>
  <si>
    <t xml:space="preserve"> $1,49,370.00 </t>
  </si>
  <si>
    <t xml:space="preserve"> $1,33,350.00 </t>
  </si>
  <si>
    <t>$10,668.00</t>
  </si>
  <si>
    <t xml:space="preserve"> $1,22,682.00 </t>
  </si>
  <si>
    <t xml:space="preserve"> $1,47,700.00 </t>
  </si>
  <si>
    <t>$11,816.00</t>
  </si>
  <si>
    <t xml:space="preserve"> $1,35,884.00 </t>
  </si>
  <si>
    <t xml:space="preserve"> $1,09,720.00 </t>
  </si>
  <si>
    <t xml:space="preserve"> $6,40,200.00 </t>
  </si>
  <si>
    <t>$51,216.00</t>
  </si>
  <si>
    <t xml:space="preserve"> $5,88,984.00 </t>
  </si>
  <si>
    <t xml:space="preserve"> $5,33,500.00 </t>
  </si>
  <si>
    <t xml:space="preserve"> $2,42,400.00 </t>
  </si>
  <si>
    <t>$19,392.00</t>
  </si>
  <si>
    <t xml:space="preserve"> $2,23,008.00 </t>
  </si>
  <si>
    <t xml:space="preserve"> $2,02,000.00 </t>
  </si>
  <si>
    <t>$2,432.00</t>
  </si>
  <si>
    <t>$1,320.00</t>
  </si>
  <si>
    <t>$698.40</t>
  </si>
  <si>
    <t xml:space="preserve"> $3,28,200.00 </t>
  </si>
  <si>
    <t>$29,538.00</t>
  </si>
  <si>
    <t xml:space="preserve"> $2,98,662.00 </t>
  </si>
  <si>
    <t xml:space="preserve"> $2,73,500.00 </t>
  </si>
  <si>
    <t>$396.36</t>
  </si>
  <si>
    <t xml:space="preserve"> $11,40,750.00 </t>
  </si>
  <si>
    <t xml:space="preserve"> $1,02,667.50 </t>
  </si>
  <si>
    <t xml:space="preserve"> $10,38,082.50 </t>
  </si>
  <si>
    <t xml:space="preserve"> $9,50,625.00 </t>
  </si>
  <si>
    <t xml:space="preserve"> $5,83,100.00 </t>
  </si>
  <si>
    <t>$52,479.00</t>
  </si>
  <si>
    <t xml:space="preserve"> $5,30,621.00 </t>
  </si>
  <si>
    <t xml:space="preserve"> $4,33,160.00 </t>
  </si>
  <si>
    <t>$8,694.00</t>
  </si>
  <si>
    <t>$2,506.68</t>
  </si>
  <si>
    <t xml:space="preserve"> $2,32,125.00 </t>
  </si>
  <si>
    <t>$20,891.25</t>
  </si>
  <si>
    <t xml:space="preserve"> $2,11,233.75 </t>
  </si>
  <si>
    <t xml:space="preserve"> $2,22,840.00 </t>
  </si>
  <si>
    <t>$1,014.93</t>
  </si>
  <si>
    <t xml:space="preserve"> $3,49,625.00 </t>
  </si>
  <si>
    <t>$31,466.25</t>
  </si>
  <si>
    <t xml:space="preserve"> $3,18,158.75 </t>
  </si>
  <si>
    <t xml:space="preserve"> $3,35,640.00 </t>
  </si>
  <si>
    <t xml:space="preserve"> $1,00,200.00 </t>
  </si>
  <si>
    <t>$9,018.00</t>
  </si>
  <si>
    <t xml:space="preserve"> $7,69,500.00 </t>
  </si>
  <si>
    <t>$69,255.00</t>
  </si>
  <si>
    <t xml:space="preserve"> $7,00,245.00 </t>
  </si>
  <si>
    <t xml:space="preserve"> $6,41,250.00 </t>
  </si>
  <si>
    <t xml:space="preserve"> $8,45,950.00 </t>
  </si>
  <si>
    <t>$76,135.50</t>
  </si>
  <si>
    <t xml:space="preserve"> $7,69,814.50 </t>
  </si>
  <si>
    <t xml:space="preserve"> $6,28,420.00 </t>
  </si>
  <si>
    <t>$4,961.25</t>
  </si>
  <si>
    <t>$1,656.45</t>
  </si>
  <si>
    <t xml:space="preserve"> $3,97,200.00 </t>
  </si>
  <si>
    <t>$35,748.00</t>
  </si>
  <si>
    <t xml:space="preserve"> $3,61,452.00 </t>
  </si>
  <si>
    <t xml:space="preserve"> $3,31,000.00 </t>
  </si>
  <si>
    <t>$1,917.00</t>
  </si>
  <si>
    <t>$330.75</t>
  </si>
  <si>
    <t xml:space="preserve"> $11,38,050.00 </t>
  </si>
  <si>
    <t xml:space="preserve"> $1,02,424.50 </t>
  </si>
  <si>
    <t xml:space="preserve"> $10,35,625.50 </t>
  </si>
  <si>
    <t xml:space="preserve"> $9,48,375.00 </t>
  </si>
  <si>
    <t xml:space="preserve"> $4,57,450.00 </t>
  </si>
  <si>
    <t>$41,170.50</t>
  </si>
  <si>
    <t xml:space="preserve"> $4,16,279.50 </t>
  </si>
  <si>
    <t xml:space="preserve"> $3,39,820.00 </t>
  </si>
  <si>
    <t>$6,378.75</t>
  </si>
  <si>
    <t xml:space="preserve"> $2,63,750.00 </t>
  </si>
  <si>
    <t>$23,737.50</t>
  </si>
  <si>
    <t xml:space="preserve"> $2,40,012.50 </t>
  </si>
  <si>
    <t xml:space="preserve"> $2,53,200.00 </t>
  </si>
  <si>
    <t xml:space="preserve"> $4,44,150.00 </t>
  </si>
  <si>
    <t>$39,973.50</t>
  </si>
  <si>
    <t xml:space="preserve"> $4,04,176.50 </t>
  </si>
  <si>
    <t xml:space="preserve"> $3,29,940.00 </t>
  </si>
  <si>
    <t>$2,112.48</t>
  </si>
  <si>
    <t xml:space="preserve"> $7,97,700.00 </t>
  </si>
  <si>
    <t>$71,793.00</t>
  </si>
  <si>
    <t xml:space="preserve"> $7,25,907.00 </t>
  </si>
  <si>
    <t xml:space="preserve"> $6,64,750.00 </t>
  </si>
  <si>
    <t xml:space="preserve"> $4,73,025.00 </t>
  </si>
  <si>
    <t>$42,572.25</t>
  </si>
  <si>
    <t xml:space="preserve"> $4,30,452.75 </t>
  </si>
  <si>
    <t xml:space="preserve"> $3,51,390.00 </t>
  </si>
  <si>
    <t>$950.40</t>
  </si>
  <si>
    <t xml:space="preserve"> $5,60,100.00 </t>
  </si>
  <si>
    <t>$50,409.00</t>
  </si>
  <si>
    <t xml:space="preserve"> $5,09,691.00 </t>
  </si>
  <si>
    <t xml:space="preserve"> $4,66,750.00 </t>
  </si>
  <si>
    <t>$2,412.72</t>
  </si>
  <si>
    <t xml:space="preserve"> $1,09,625.00 </t>
  </si>
  <si>
    <t>$9,866.25</t>
  </si>
  <si>
    <t xml:space="preserve"> $1,05,240.00 </t>
  </si>
  <si>
    <t xml:space="preserve"> $7,24,850.00 </t>
  </si>
  <si>
    <t>$65,236.50</t>
  </si>
  <si>
    <t xml:space="preserve"> $6,59,613.50 </t>
  </si>
  <si>
    <t xml:space="preserve"> $5,38,460.00 </t>
  </si>
  <si>
    <t>$1,309.50</t>
  </si>
  <si>
    <t>$3,049.20</t>
  </si>
  <si>
    <t>$1,193.40</t>
  </si>
  <si>
    <t>$515.97</t>
  </si>
  <si>
    <t>$1,706.40</t>
  </si>
  <si>
    <t>$328.23</t>
  </si>
  <si>
    <t>$1,751.40</t>
  </si>
  <si>
    <t>$1,868.40</t>
  </si>
  <si>
    <t>$226.80</t>
  </si>
  <si>
    <t>$2,124.36</t>
  </si>
  <si>
    <t>$3,547.80</t>
  </si>
  <si>
    <t>$4,827.60</t>
  </si>
  <si>
    <t>$2,201.18</t>
  </si>
  <si>
    <t>$330.48</t>
  </si>
  <si>
    <t>$463.20</t>
  </si>
  <si>
    <t>$1,629.60</t>
  </si>
  <si>
    <t xml:space="preserve"> $4,30,687.50 </t>
  </si>
  <si>
    <t>$43,068.75</t>
  </si>
  <si>
    <t xml:space="preserve"> $3,87,618.75 </t>
  </si>
  <si>
    <t xml:space="preserve"> $4,13,460.00 </t>
  </si>
  <si>
    <t xml:space="preserve"> $1,85,250.00 </t>
  </si>
  <si>
    <t>$18,525.00</t>
  </si>
  <si>
    <t xml:space="preserve"> $1,66,725.00 </t>
  </si>
  <si>
    <t xml:space="preserve"> $1,77,840.00 </t>
  </si>
  <si>
    <t xml:space="preserve"> $8,09,550.00 </t>
  </si>
  <si>
    <t>$80,955.00</t>
  </si>
  <si>
    <t xml:space="preserve"> $7,28,595.00 </t>
  </si>
  <si>
    <t xml:space="preserve"> $6,01,380.00 </t>
  </si>
  <si>
    <t>$22,550.00</t>
  </si>
  <si>
    <t xml:space="preserve"> $2,02,950.00 </t>
  </si>
  <si>
    <t>$3,108.00</t>
  </si>
  <si>
    <t>$3,908.00</t>
  </si>
  <si>
    <t xml:space="preserve"> $1,77,300.00 </t>
  </si>
  <si>
    <t>$17,730.00</t>
  </si>
  <si>
    <t xml:space="preserve"> $1,59,570.00 </t>
  </si>
  <si>
    <t xml:space="preserve"> $1,47,750.00 </t>
  </si>
  <si>
    <t>$3,250.50</t>
  </si>
  <si>
    <t>$482.00</t>
  </si>
  <si>
    <t>$1,021.50</t>
  </si>
  <si>
    <t>$765.00</t>
  </si>
  <si>
    <t>$1,185.00</t>
  </si>
  <si>
    <t xml:space="preserve"> $2,23,650.00 </t>
  </si>
  <si>
    <t>$22,365.00</t>
  </si>
  <si>
    <t xml:space="preserve"> $2,01,285.00 </t>
  </si>
  <si>
    <t xml:space="preserve"> $1,66,140.00 </t>
  </si>
  <si>
    <t xml:space="preserve"> $1,99,500.00 </t>
  </si>
  <si>
    <t>$19,950.00</t>
  </si>
  <si>
    <t xml:space="preserve"> $1,79,550.00 </t>
  </si>
  <si>
    <t xml:space="preserve"> $1,91,520.00 </t>
  </si>
  <si>
    <t xml:space="preserve"> $6,88,200.00 </t>
  </si>
  <si>
    <t>$68,820.00</t>
  </si>
  <si>
    <t xml:space="preserve"> $6,19,380.00 </t>
  </si>
  <si>
    <t xml:space="preserve"> $5,73,500.00 </t>
  </si>
  <si>
    <t>$1,865.50</t>
  </si>
  <si>
    <t>$23,950.00</t>
  </si>
  <si>
    <t xml:space="preserve"> $2,15,550.00 </t>
  </si>
  <si>
    <t xml:space="preserve"> $2,29,920.00 </t>
  </si>
  <si>
    <t xml:space="preserve"> $2,55,900.00 </t>
  </si>
  <si>
    <t>$25,590.00</t>
  </si>
  <si>
    <t xml:space="preserve"> $2,30,310.00 </t>
  </si>
  <si>
    <t>$4,262.50</t>
  </si>
  <si>
    <t>$961.50</t>
  </si>
  <si>
    <t xml:space="preserve"> $9,82,450.00 </t>
  </si>
  <si>
    <t>$98,245.00</t>
  </si>
  <si>
    <t xml:space="preserve"> $8,84,205.00 </t>
  </si>
  <si>
    <t xml:space="preserve"> $7,29,820.00 </t>
  </si>
  <si>
    <t xml:space="preserve"> $1,29,600.00 </t>
  </si>
  <si>
    <t>$12,960.00</t>
  </si>
  <si>
    <t xml:space="preserve"> $1,16,640.00 </t>
  </si>
  <si>
    <t xml:space="preserve"> $1,08,000.00 </t>
  </si>
  <si>
    <t xml:space="preserve"> $3,16,125.00 </t>
  </si>
  <si>
    <t>$31,612.50</t>
  </si>
  <si>
    <t xml:space="preserve"> $2,84,512.50 </t>
  </si>
  <si>
    <t xml:space="preserve"> $3,03,480.00 </t>
  </si>
  <si>
    <t xml:space="preserve"> $6,54,500.00 </t>
  </si>
  <si>
    <t>$65,450.00</t>
  </si>
  <si>
    <t xml:space="preserve"> $5,89,050.00 </t>
  </si>
  <si>
    <t xml:space="preserve"> $4,86,200.00 </t>
  </si>
  <si>
    <t>$7,237.50</t>
  </si>
  <si>
    <t xml:space="preserve"> $7,84,000.00 </t>
  </si>
  <si>
    <t>$78,400.00</t>
  </si>
  <si>
    <t xml:space="preserve"> $7,05,600.00 </t>
  </si>
  <si>
    <t xml:space="preserve"> $5,82,400.00 </t>
  </si>
  <si>
    <t xml:space="preserve"> $8,97,900.00 </t>
  </si>
  <si>
    <t>$89,790.00</t>
  </si>
  <si>
    <t xml:space="preserve"> $8,08,110.00 </t>
  </si>
  <si>
    <t xml:space="preserve"> $7,48,250.00 </t>
  </si>
  <si>
    <t>$4,224.60</t>
  </si>
  <si>
    <t>$4,078.00</t>
  </si>
  <si>
    <t>$3,088.80</t>
  </si>
  <si>
    <t xml:space="preserve"> $2,47,450.00 </t>
  </si>
  <si>
    <t>$24,745.00</t>
  </si>
  <si>
    <t xml:space="preserve"> $2,22,705.00 </t>
  </si>
  <si>
    <t xml:space="preserve"> $1,83,820.00 </t>
  </si>
  <si>
    <t>$1,581.36</t>
  </si>
  <si>
    <t>$1,949.64</t>
  </si>
  <si>
    <t>$633.60</t>
  </si>
  <si>
    <t>$623.04</t>
  </si>
  <si>
    <t>$1,215.83</t>
  </si>
  <si>
    <t>$1,326.60</t>
  </si>
  <si>
    <t>$5,279.18</t>
  </si>
  <si>
    <t>$2,556.84</t>
  </si>
  <si>
    <t xml:space="preserve"> $2,77,200.00 </t>
  </si>
  <si>
    <t>$30,492.00</t>
  </si>
  <si>
    <t xml:space="preserve"> $2,46,708.00 </t>
  </si>
  <si>
    <t xml:space="preserve"> $2,05,920.00 </t>
  </si>
  <si>
    <t xml:space="preserve"> $8,43,300.00 </t>
  </si>
  <si>
    <t>$92,763.00</t>
  </si>
  <si>
    <t xml:space="preserve"> $7,50,537.00 </t>
  </si>
  <si>
    <t xml:space="preserve"> $7,02,750.00 </t>
  </si>
  <si>
    <t xml:space="preserve"> $3,05,125.00 </t>
  </si>
  <si>
    <t>$33,563.75</t>
  </si>
  <si>
    <t xml:space="preserve"> $2,71,561.25 </t>
  </si>
  <si>
    <t xml:space="preserve"> $2,92,920.00 </t>
  </si>
  <si>
    <t>$2,574.00</t>
  </si>
  <si>
    <t>$2,083.62</t>
  </si>
  <si>
    <t xml:space="preserve"> $2,68,100.00 </t>
  </si>
  <si>
    <t>$29,491.00</t>
  </si>
  <si>
    <t xml:space="preserve"> $2,38,609.00 </t>
  </si>
  <si>
    <t xml:space="preserve"> $1,99,160.00 </t>
  </si>
  <si>
    <t>$6,582.40</t>
  </si>
  <si>
    <t>$3,559.05</t>
  </si>
  <si>
    <t xml:space="preserve"> $2,61,900.00 </t>
  </si>
  <si>
    <t>$28,809.00</t>
  </si>
  <si>
    <t xml:space="preserve"> $2,33,091.00 </t>
  </si>
  <si>
    <t xml:space="preserve"> $2,18,250.00 </t>
  </si>
  <si>
    <t>$2,468.40</t>
  </si>
  <si>
    <t xml:space="preserve"> $7,36,575.00 </t>
  </si>
  <si>
    <t>$81,023.25</t>
  </si>
  <si>
    <t xml:space="preserve"> $6,55,551.75 </t>
  </si>
  <si>
    <t xml:space="preserve"> $5,47,170.00 </t>
  </si>
  <si>
    <t>$5,314.32</t>
  </si>
  <si>
    <t>$3,201.66</t>
  </si>
  <si>
    <t>$5,266.80</t>
  </si>
  <si>
    <t>$3,273.60</t>
  </si>
  <si>
    <t xml:space="preserve"> $4,09,800.00 </t>
  </si>
  <si>
    <t>$45,078.00</t>
  </si>
  <si>
    <t xml:space="preserve"> $3,64,722.00 </t>
  </si>
  <si>
    <t xml:space="preserve"> $3,41,500.00 </t>
  </si>
  <si>
    <t>$6,171.00</t>
  </si>
  <si>
    <t>$1,080.75</t>
  </si>
  <si>
    <t xml:space="preserve"> $1,20,400.00 </t>
  </si>
  <si>
    <t>$13,244.00</t>
  </si>
  <si>
    <t xml:space="preserve"> $1,07,156.00 </t>
  </si>
  <si>
    <t>$1,392.16</t>
  </si>
  <si>
    <t>$2,288.88</t>
  </si>
  <si>
    <t>$7,617.50</t>
  </si>
  <si>
    <t>$6,457.00</t>
  </si>
  <si>
    <t xml:space="preserve"> $3,95,625.00 </t>
  </si>
  <si>
    <t>$43,518.75</t>
  </si>
  <si>
    <t xml:space="preserve"> $3,52,106.25 </t>
  </si>
  <si>
    <t xml:space="preserve"> $3,79,800.00 </t>
  </si>
  <si>
    <t>$5,783.80</t>
  </si>
  <si>
    <t xml:space="preserve"> $1,79,125.00 </t>
  </si>
  <si>
    <t>$19,703.75</t>
  </si>
  <si>
    <t xml:space="preserve"> $1,59,421.25 </t>
  </si>
  <si>
    <t xml:space="preserve"> $1,71,960.00 </t>
  </si>
  <si>
    <t xml:space="preserve"> $1,18,375.00 </t>
  </si>
  <si>
    <t>$13,021.25</t>
  </si>
  <si>
    <t xml:space="preserve"> $1,05,353.75 </t>
  </si>
  <si>
    <t xml:space="preserve"> $1,13,640.00 </t>
  </si>
  <si>
    <t>$292.60</t>
  </si>
  <si>
    <t xml:space="preserve"> $3,10,100.00 </t>
  </si>
  <si>
    <t>$37,212.00</t>
  </si>
  <si>
    <t xml:space="preserve"> $2,72,888.00 </t>
  </si>
  <si>
    <t xml:space="preserve"> $2,30,360.00 </t>
  </si>
  <si>
    <t xml:space="preserve"> $3,02,000.00 </t>
  </si>
  <si>
    <t>$36,240.00</t>
  </si>
  <si>
    <t xml:space="preserve"> $2,65,760.00 </t>
  </si>
  <si>
    <t xml:space="preserve"> $2,89,920.00 </t>
  </si>
  <si>
    <t xml:space="preserve"> $2,69,500.00 </t>
  </si>
  <si>
    <t>$32,340.00</t>
  </si>
  <si>
    <t xml:space="preserve"> $2,37,160.00 </t>
  </si>
  <si>
    <t xml:space="preserve"> $2,58,720.00 </t>
  </si>
  <si>
    <t>$4,840.20</t>
  </si>
  <si>
    <t xml:space="preserve"> $5,31,900.00 </t>
  </si>
  <si>
    <t>$63,828.00</t>
  </si>
  <si>
    <t xml:space="preserve"> $4,68,072.00 </t>
  </si>
  <si>
    <t xml:space="preserve"> $4,43,250.00 </t>
  </si>
  <si>
    <t>$2,032.80</t>
  </si>
  <si>
    <t>$2,296.56</t>
  </si>
  <si>
    <t>$4,116.00</t>
  </si>
  <si>
    <t xml:space="preserve"> $3,55,800.00 </t>
  </si>
  <si>
    <t>$42,696.00</t>
  </si>
  <si>
    <t xml:space="preserve"> $3,13,104.00 </t>
  </si>
  <si>
    <t xml:space="preserve"> $2,96,500.00 </t>
  </si>
  <si>
    <t xml:space="preserve"> $10,48,500.00 </t>
  </si>
  <si>
    <t xml:space="preserve"> $1,25,820.00 </t>
  </si>
  <si>
    <t xml:space="preserve"> $9,22,680.00 </t>
  </si>
  <si>
    <t xml:space="preserve"> $8,73,750.00 </t>
  </si>
  <si>
    <t>$2,172.00</t>
  </si>
  <si>
    <t xml:space="preserve"> $5,57,900.00 </t>
  </si>
  <si>
    <t>$66,948.00</t>
  </si>
  <si>
    <t xml:space="preserve"> $4,90,952.00 </t>
  </si>
  <si>
    <t xml:space="preserve"> $4,14,440.00 </t>
  </si>
  <si>
    <t xml:space="preserve"> $4,07,700.00 </t>
  </si>
  <si>
    <t>$48,924.00</t>
  </si>
  <si>
    <t xml:space="preserve"> $3,58,776.00 </t>
  </si>
  <si>
    <t xml:space="preserve"> $3,39,750.00 </t>
  </si>
  <si>
    <t xml:space="preserve"> $6,45,000.00 </t>
  </si>
  <si>
    <t>$77,400.00</t>
  </si>
  <si>
    <t xml:space="preserve"> $5,67,600.00 </t>
  </si>
  <si>
    <t xml:space="preserve"> $5,37,500.00 </t>
  </si>
  <si>
    <t xml:space="preserve"> $4,18,950.00 </t>
  </si>
  <si>
    <t>$50,274.00</t>
  </si>
  <si>
    <t xml:space="preserve"> $3,68,676.00 </t>
  </si>
  <si>
    <t xml:space="preserve"> $3,11,220.00 </t>
  </si>
  <si>
    <t>$684.00</t>
  </si>
  <si>
    <t>$2,959.20</t>
  </si>
  <si>
    <t xml:space="preserve"> $4,88,250.00 </t>
  </si>
  <si>
    <t>$58,590.00</t>
  </si>
  <si>
    <t xml:space="preserve"> $4,29,660.00 </t>
  </si>
  <si>
    <t xml:space="preserve"> $3,62,700.00 </t>
  </si>
  <si>
    <t xml:space="preserve"> $3,45,100.00 </t>
  </si>
  <si>
    <t>$41,412.00</t>
  </si>
  <si>
    <t xml:space="preserve"> $3,03,688.00 </t>
  </si>
  <si>
    <t xml:space="preserve"> $2,56,360.00 </t>
  </si>
  <si>
    <t>$3,036.96</t>
  </si>
  <si>
    <t>$6,974.10</t>
  </si>
  <si>
    <t xml:space="preserve"> $2,18,050.00 </t>
  </si>
  <si>
    <t>$26,166.00</t>
  </si>
  <si>
    <t xml:space="preserve"> $1,91,884.00 </t>
  </si>
  <si>
    <t xml:space="preserve"> $1,61,980.00 </t>
  </si>
  <si>
    <t xml:space="preserve"> $2,98,375.00 </t>
  </si>
  <si>
    <t>$35,805.00</t>
  </si>
  <si>
    <t xml:space="preserve"> $2,62,570.00 </t>
  </si>
  <si>
    <t xml:space="preserve"> $2,86,440.00 </t>
  </si>
  <si>
    <t>$11,340.00</t>
  </si>
  <si>
    <t>$2,874.06</t>
  </si>
  <si>
    <t>$4,586.40</t>
  </si>
  <si>
    <t>$6,051.60</t>
  </si>
  <si>
    <t>$3,831.84</t>
  </si>
  <si>
    <t>$3,674.40</t>
  </si>
  <si>
    <t>$1,252.44</t>
  </si>
  <si>
    <t>$3,975.84</t>
  </si>
  <si>
    <t>$5,005.65</t>
  </si>
  <si>
    <t xml:space="preserve"> $3,23,050.00 </t>
  </si>
  <si>
    <t>$41,996.50</t>
  </si>
  <si>
    <t xml:space="preserve"> $2,81,053.50 </t>
  </si>
  <si>
    <t xml:space="preserve"> $2,39,980.00 </t>
  </si>
  <si>
    <t xml:space="preserve"> $6,26,500.00 </t>
  </si>
  <si>
    <t>$81,445.00</t>
  </si>
  <si>
    <t xml:space="preserve"> $5,45,055.00 </t>
  </si>
  <si>
    <t xml:space="preserve"> $4,65,400.00 </t>
  </si>
  <si>
    <t>$1,149.20</t>
  </si>
  <si>
    <t xml:space="preserve"> $3,43,875.00 </t>
  </si>
  <si>
    <t>$44,703.75</t>
  </si>
  <si>
    <t xml:space="preserve"> $2,99,171.25 </t>
  </si>
  <si>
    <t xml:space="preserve"> $2,55,450.00 </t>
  </si>
  <si>
    <t>$1,181.18</t>
  </si>
  <si>
    <t>$942.24</t>
  </si>
  <si>
    <t>$5,863.00</t>
  </si>
  <si>
    <t>$3,247.40</t>
  </si>
  <si>
    <t>$1,309.04</t>
  </si>
  <si>
    <t xml:space="preserve"> $2,42,100.00 </t>
  </si>
  <si>
    <t>$31,473.00</t>
  </si>
  <si>
    <t xml:space="preserve"> $2,10,627.00 </t>
  </si>
  <si>
    <t xml:space="preserve"> $2,01,750.00 </t>
  </si>
  <si>
    <t>$6,866.60</t>
  </si>
  <si>
    <t>$7,040.80</t>
  </si>
  <si>
    <t xml:space="preserve"> $9,21,200.00 </t>
  </si>
  <si>
    <t xml:space="preserve"> $1,19,756.00 </t>
  </si>
  <si>
    <t xml:space="preserve"> $8,01,444.00 </t>
  </si>
  <si>
    <t xml:space="preserve"> $6,84,320.00 </t>
  </si>
  <si>
    <t xml:space="preserve"> $1,97,875.00 </t>
  </si>
  <si>
    <t>$25,723.75</t>
  </si>
  <si>
    <t xml:space="preserve"> $1,72,151.25 </t>
  </si>
  <si>
    <t xml:space="preserve"> $1,89,960.00 </t>
  </si>
  <si>
    <t>$890.76</t>
  </si>
  <si>
    <t>$2,453.36</t>
  </si>
  <si>
    <t>$3,051.75</t>
  </si>
  <si>
    <t xml:space="preserve"> $1,24,950.00 </t>
  </si>
  <si>
    <t>$16,243.50</t>
  </si>
  <si>
    <t xml:space="preserve"> $1,08,706.50 </t>
  </si>
  <si>
    <t>$1,580.28</t>
  </si>
  <si>
    <t>$7,795.13</t>
  </si>
  <si>
    <t>$1,082.90</t>
  </si>
  <si>
    <t>$1,287.00</t>
  </si>
  <si>
    <t>$639.60</t>
  </si>
  <si>
    <t xml:space="preserve"> $7,81,500.00 </t>
  </si>
  <si>
    <t xml:space="preserve"> $1,01,595.00 </t>
  </si>
  <si>
    <t xml:space="preserve"> $6,79,905.00 </t>
  </si>
  <si>
    <t xml:space="preserve"> $6,51,250.00 </t>
  </si>
  <si>
    <t xml:space="preserve"> $2,07,375.00 </t>
  </si>
  <si>
    <t>$26,958.75</t>
  </si>
  <si>
    <t xml:space="preserve"> $1,80,416.25 </t>
  </si>
  <si>
    <t xml:space="preserve"> $1,99,080.00 </t>
  </si>
  <si>
    <t>$2,761.20</t>
  </si>
  <si>
    <t>$7,221.20</t>
  </si>
  <si>
    <t>$4,880.40</t>
  </si>
  <si>
    <t>$2,936.08</t>
  </si>
  <si>
    <t>$274.40</t>
  </si>
  <si>
    <t>$287.14</t>
  </si>
  <si>
    <t>$583.80</t>
  </si>
  <si>
    <t>$6,798.40</t>
  </si>
  <si>
    <t>$3,710.70</t>
  </si>
  <si>
    <t>$2,340.24</t>
  </si>
  <si>
    <t>$3,385.20</t>
  </si>
  <si>
    <t xml:space="preserve"> $2,40,300.00 </t>
  </si>
  <si>
    <t>$33,642.00</t>
  </si>
  <si>
    <t xml:space="preserve"> $2,06,658.00 </t>
  </si>
  <si>
    <t xml:space="preserve"> $2,00,250.00 </t>
  </si>
  <si>
    <t xml:space="preserve"> $1,27,875.00 </t>
  </si>
  <si>
    <t>$17,902.50</t>
  </si>
  <si>
    <t xml:space="preserve"> $1,09,972.50 </t>
  </si>
  <si>
    <t xml:space="preserve"> $1,22,760.00 </t>
  </si>
  <si>
    <t xml:space="preserve"> $4,48,800.00 </t>
  </si>
  <si>
    <t>$62,832.00</t>
  </si>
  <si>
    <t xml:space="preserve"> $3,85,968.00 </t>
  </si>
  <si>
    <t xml:space="preserve"> $3,03,000.00 </t>
  </si>
  <si>
    <t>$42,420.00</t>
  </si>
  <si>
    <t xml:space="preserve"> $2,60,580.00 </t>
  </si>
  <si>
    <t xml:space="preserve"> $2,52,500.00 </t>
  </si>
  <si>
    <t>$3,177.30</t>
  </si>
  <si>
    <t>$4,830.00</t>
  </si>
  <si>
    <t>$49,367.50</t>
  </si>
  <si>
    <t xml:space="preserve"> $3,03,257.50 </t>
  </si>
  <si>
    <t xml:space="preserve"> $7,79,625.00 </t>
  </si>
  <si>
    <t xml:space="preserve"> $1,09,147.50 </t>
  </si>
  <si>
    <t xml:space="preserve"> $6,70,477.50 </t>
  </si>
  <si>
    <t xml:space="preserve"> $5,79,150.00 </t>
  </si>
  <si>
    <t xml:space="preserve"> $4,19,650.00 </t>
  </si>
  <si>
    <t>$58,751.00</t>
  </si>
  <si>
    <t xml:space="preserve"> $3,60,899.00 </t>
  </si>
  <si>
    <t xml:space="preserve"> $3,11,740.00 </t>
  </si>
  <si>
    <t>$9,800.00</t>
  </si>
  <si>
    <t>$380.24</t>
  </si>
  <si>
    <t>$1,692.46</t>
  </si>
  <si>
    <t>$728.00</t>
  </si>
  <si>
    <t>$5,187.00</t>
  </si>
  <si>
    <t>$3,660.30</t>
  </si>
  <si>
    <t>$4,895.52</t>
  </si>
  <si>
    <t>$1,696.38</t>
  </si>
  <si>
    <t xml:space="preserve"> $2,45,000.00 </t>
  </si>
  <si>
    <t>$34,300.00</t>
  </si>
  <si>
    <t xml:space="preserve"> $1,82,000.00 </t>
  </si>
  <si>
    <t>$3,732.96</t>
  </si>
  <si>
    <t xml:space="preserve"> $4,11,950.00 </t>
  </si>
  <si>
    <t>$57,673.00</t>
  </si>
  <si>
    <t xml:space="preserve"> $3,54,277.00 </t>
  </si>
  <si>
    <t xml:space="preserve"> $3,06,020.00 </t>
  </si>
  <si>
    <t xml:space="preserve"> $6,72,700.00 </t>
  </si>
  <si>
    <t>$94,178.00</t>
  </si>
  <si>
    <t xml:space="preserve"> $5,78,522.00 </t>
  </si>
  <si>
    <t xml:space="preserve"> $4,99,720.00 </t>
  </si>
  <si>
    <t xml:space="preserve"> $1,96,875.00 </t>
  </si>
  <si>
    <t>$27,562.50</t>
  </si>
  <si>
    <t xml:space="preserve"> $1,69,312.50 </t>
  </si>
  <si>
    <t xml:space="preserve"> $1,89,000.00 </t>
  </si>
  <si>
    <t>$1,696.80</t>
  </si>
  <si>
    <t xml:space="preserve"> $6,34,680.00 </t>
  </si>
  <si>
    <t>$11,298.00</t>
  </si>
  <si>
    <t xml:space="preserve"> $7,60,800.00 </t>
  </si>
  <si>
    <t xml:space="preserve"> $1,06,512.00 </t>
  </si>
  <si>
    <t xml:space="preserve"> $6,54,288.00 </t>
  </si>
  <si>
    <t xml:space="preserve"> $6,34,000.00 </t>
  </si>
  <si>
    <t>$2,844.94</t>
  </si>
  <si>
    <t xml:space="preserve"> $7,62,300.00 </t>
  </si>
  <si>
    <t xml:space="preserve"> $1,06,722.00 </t>
  </si>
  <si>
    <t xml:space="preserve"> $6,55,578.00 </t>
  </si>
  <si>
    <t xml:space="preserve"> $6,35,250.00 </t>
  </si>
  <si>
    <t xml:space="preserve"> $4,48,350.00 </t>
  </si>
  <si>
    <t>$62,769.00</t>
  </si>
  <si>
    <t xml:space="preserve"> $3,85,581.00 </t>
  </si>
  <si>
    <t xml:space="preserve"> $3,33,060.00 </t>
  </si>
  <si>
    <t xml:space="preserve"> $2,66,400.00 </t>
  </si>
  <si>
    <t>$37,296.00</t>
  </si>
  <si>
    <t xml:space="preserve"> $2,29,104.00 </t>
  </si>
  <si>
    <t xml:space="preserve"> $2,22,000.00 </t>
  </si>
  <si>
    <t xml:space="preserve"> $3,55,500.00 </t>
  </si>
  <si>
    <t>$49,770.00</t>
  </si>
  <si>
    <t xml:space="preserve"> $3,05,730.00 </t>
  </si>
  <si>
    <t xml:space="preserve"> $3,41,280.00 </t>
  </si>
  <si>
    <t>$4,158.00</t>
  </si>
  <si>
    <t>$3,927.00</t>
  </si>
  <si>
    <t xml:space="preserve"> $1,46,750.00 </t>
  </si>
  <si>
    <t>$22,012.50</t>
  </si>
  <si>
    <t xml:space="preserve"> $1,24,737.50 </t>
  </si>
  <si>
    <t xml:space="preserve"> $1,40,880.00 </t>
  </si>
  <si>
    <t xml:space="preserve"> $3,45,875.00 </t>
  </si>
  <si>
    <t>$51,881.25</t>
  </si>
  <si>
    <t xml:space="preserve"> $2,93,993.75 </t>
  </si>
  <si>
    <t xml:space="preserve"> $3,32,040.00 </t>
  </si>
  <si>
    <t xml:space="preserve"> $1,35,625.00 </t>
  </si>
  <si>
    <t>$20,343.75</t>
  </si>
  <si>
    <t xml:space="preserve"> $1,15,281.25 </t>
  </si>
  <si>
    <t xml:space="preserve"> $1,30,200.00 </t>
  </si>
  <si>
    <t xml:space="preserve"> $1,63,800.00 </t>
  </si>
  <si>
    <t>$24,570.00</t>
  </si>
  <si>
    <t xml:space="preserve"> $1,39,230.00 </t>
  </si>
  <si>
    <t xml:space="preserve"> $1,36,500.00 </t>
  </si>
  <si>
    <t>$3,474.00</t>
  </si>
  <si>
    <t>$3,631.50</t>
  </si>
  <si>
    <t>$2,661.75</t>
  </si>
  <si>
    <t xml:space="preserve"> $9,97,850.00 </t>
  </si>
  <si>
    <t xml:space="preserve"> $1,49,677.50 </t>
  </si>
  <si>
    <t xml:space="preserve"> $8,48,172.50 </t>
  </si>
  <si>
    <t xml:space="preserve"> $7,41,260.00 </t>
  </si>
  <si>
    <t>$5,757.75</t>
  </si>
  <si>
    <t>$801.00</t>
  </si>
  <si>
    <t>$2,643.75</t>
  </si>
  <si>
    <t xml:space="preserve"> $7,02,450.00 </t>
  </si>
  <si>
    <t xml:space="preserve"> $1,05,367.50 </t>
  </si>
  <si>
    <t xml:space="preserve"> $5,97,082.50 </t>
  </si>
  <si>
    <t xml:space="preserve"> $5,21,820.00 </t>
  </si>
  <si>
    <t xml:space="preserve"> $7,52,850.00 </t>
  </si>
  <si>
    <t xml:space="preserve"> $1,12,927.50 </t>
  </si>
  <si>
    <t xml:space="preserve"> $6,39,922.50 </t>
  </si>
  <si>
    <t xml:space="preserve"> $5,59,260.00 </t>
  </si>
  <si>
    <t>$1,645.20</t>
  </si>
  <si>
    <t>$879.00</t>
  </si>
  <si>
    <t>$900.00</t>
  </si>
  <si>
    <t>$6,358.50</t>
  </si>
  <si>
    <t>$12,431.25</t>
  </si>
  <si>
    <t xml:space="preserve"> $7,72,200.00 </t>
  </si>
  <si>
    <t xml:space="preserve"> $1,15,830.00 </t>
  </si>
  <si>
    <t xml:space="preserve"> $6,56,370.00 </t>
  </si>
  <si>
    <t xml:space="preserve"> $6,43,500.00 </t>
  </si>
  <si>
    <t xml:space="preserve"> $3,04,750.00 </t>
  </si>
  <si>
    <t>$45,712.50</t>
  </si>
  <si>
    <t xml:space="preserve"> $2,59,037.50 </t>
  </si>
  <si>
    <t xml:space="preserve"> $2,92,560.00 </t>
  </si>
  <si>
    <t>$2,596.50</t>
  </si>
  <si>
    <t>$1,107.00</t>
  </si>
  <si>
    <t xml:space="preserve"> $3,69,250.00 </t>
  </si>
  <si>
    <t>$55,387.50</t>
  </si>
  <si>
    <t xml:space="preserve"> $3,13,862.50 </t>
  </si>
  <si>
    <t xml:space="preserve"> $3,54,480.00 </t>
  </si>
  <si>
    <t>$10,350.00</t>
  </si>
  <si>
    <t xml:space="preserve"> $7,42,500.00 </t>
  </si>
  <si>
    <t xml:space="preserve"> $1,11,375.00 </t>
  </si>
  <si>
    <t xml:space="preserve"> $6,31,125.00 </t>
  </si>
  <si>
    <t xml:space="preserve"> $6,18,750.00 </t>
  </si>
  <si>
    <t>$1,436.40</t>
  </si>
  <si>
    <t>$759.15</t>
  </si>
  <si>
    <t>$3,250.80</t>
  </si>
  <si>
    <t>Column1</t>
  </si>
  <si>
    <t>Productwise Profit</t>
  </si>
  <si>
    <t>Profit by Segment</t>
  </si>
  <si>
    <t>Max_Sales</t>
  </si>
  <si>
    <t>Max_Profit</t>
  </si>
  <si>
    <t>Min_Sales</t>
  </si>
  <si>
    <t>Min_Profit</t>
  </si>
  <si>
    <t>United States of America Total</t>
  </si>
  <si>
    <t>Canada Total</t>
  </si>
  <si>
    <t>France Total</t>
  </si>
  <si>
    <t>Germany Total</t>
  </si>
  <si>
    <t>Highest Sales</t>
  </si>
  <si>
    <t>Lowest Sales</t>
  </si>
  <si>
    <t>Highest Profit</t>
  </si>
  <si>
    <t>Lowest Profit</t>
  </si>
  <si>
    <t>Max Sales</t>
  </si>
  <si>
    <t>Max Profit</t>
  </si>
  <si>
    <t>Min Sales</t>
  </si>
  <si>
    <t>Min Profit</t>
  </si>
  <si>
    <t>Mexico Total</t>
  </si>
  <si>
    <t>Total Sales</t>
  </si>
  <si>
    <t>2nd Heighest</t>
  </si>
  <si>
    <t>Min sales</t>
  </si>
  <si>
    <t>Heighest selling country</t>
  </si>
  <si>
    <t>Highest selling seg</t>
  </si>
  <si>
    <t>Highest selling country</t>
  </si>
  <si>
    <t>Highest sell Seg</t>
  </si>
  <si>
    <t>Lowest Seg</t>
  </si>
  <si>
    <t>Most profitable country</t>
  </si>
  <si>
    <t>Highest profit</t>
  </si>
  <si>
    <t>Most profitable Seg</t>
  </si>
  <si>
    <t>2nd Heighest profitable segment</t>
  </si>
  <si>
    <t>Lowest profit Seg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</si>
</sst>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quot;$&quot;#,##0.00"/>
    <numFmt numFmtId="165" formatCode="m/d/yyyy"/>
    <numFmt numFmtId="166" formatCode="&quot;₹&quot;\ #,##0.00"/>
    <numFmt numFmtId="167" formatCode="[$$-409]#,##0.00"/>
    <numFmt numFmtId="168" formatCode="0.0%"/>
    <numFmt numFmtId="169" formatCode="[$$-409]#,##0"/>
    <numFmt numFmtId="170" formatCode="0,,&quot;M&quot;"/>
    <numFmt numFmtId="171" formatCode="0.0,,&quot;M&quot;"/>
  </numFmts>
  <fonts count="8" x14ac:knownFonts="1">
    <font>
      <sz val="10"/>
      <color rgb="FF000000"/>
      <name val="Arial"/>
    </font>
    <font>
      <sz val="10"/>
      <name val="Arial"/>
    </font>
    <font>
      <sz val="10"/>
      <name val="Arial"/>
    </font>
    <font>
      <sz val="10"/>
      <color rgb="FF000000"/>
      <name val="Arial"/>
    </font>
    <font>
      <sz val="10"/>
      <color rgb="FF000000"/>
      <name val="Arial"/>
      <family val="2"/>
    </font>
    <font>
      <sz val="14"/>
      <color rgb="FF595959"/>
      <name val="Arial"/>
      <family val="2"/>
    </font>
    <font>
      <b/>
      <sz val="10"/>
      <color theme="1"/>
      <name val="Arial"/>
      <family val="2"/>
    </font>
    <font>
      <b/>
      <sz val="10"/>
      <color theme="1"/>
      <name val="Arial"/>
    </font>
  </fonts>
  <fills count="5">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58">
    <xf numFmtId="0" fontId="0" fillId="0" borderId="0" xfId="0" applyFont="1" applyAlignment="1"/>
    <xf numFmtId="0" fontId="1" fillId="0" borderId="0" xfId="0" applyFont="1" applyAlignment="1"/>
    <xf numFmtId="4" fontId="1" fillId="0" borderId="0" xfId="0" applyNumberFormat="1" applyFont="1" applyAlignment="1"/>
    <xf numFmtId="49" fontId="1" fillId="0" borderId="0" xfId="0" applyNumberFormat="1" applyFont="1" applyAlignment="1"/>
    <xf numFmtId="4" fontId="1" fillId="0" borderId="0" xfId="0" applyNumberFormat="1" applyFont="1"/>
    <xf numFmtId="49" fontId="1" fillId="0" borderId="0" xfId="0" applyNumberFormat="1" applyFont="1"/>
    <xf numFmtId="0" fontId="1" fillId="0" borderId="0" xfId="0" applyFont="1" applyAlignment="1"/>
    <xf numFmtId="0" fontId="2" fillId="0" borderId="0" xfId="0" applyFont="1" applyAlignment="1"/>
    <xf numFmtId="0" fontId="2" fillId="0" borderId="0" xfId="0" applyFont="1" applyAlignment="1">
      <alignment horizontal="right"/>
    </xf>
    <xf numFmtId="164" fontId="2" fillId="0" borderId="0" xfId="0" applyNumberFormat="1" applyFont="1" applyAlignment="1">
      <alignment horizontal="right"/>
    </xf>
    <xf numFmtId="0" fontId="3" fillId="0" borderId="0" xfId="0" applyFont="1" applyAlignment="1">
      <alignment horizontal="right"/>
    </xf>
    <xf numFmtId="4" fontId="2" fillId="0" borderId="0" xfId="0" applyNumberFormat="1" applyFont="1" applyAlignment="1">
      <alignment horizontal="right"/>
    </xf>
    <xf numFmtId="165" fontId="2" fillId="0" borderId="0" xfId="0" applyNumberFormat="1" applyFont="1" applyAlignment="1">
      <alignment horizontal="right"/>
    </xf>
    <xf numFmtId="4" fontId="2" fillId="0" borderId="0" xfId="0" applyNumberFormat="1" applyFont="1" applyAlignment="1">
      <alignment horizontal="right"/>
    </xf>
    <xf numFmtId="166" fontId="1" fillId="0" borderId="0" xfId="0" applyNumberFormat="1" applyFont="1" applyAlignment="1"/>
    <xf numFmtId="166" fontId="0" fillId="0" borderId="0" xfId="0" applyNumberFormat="1" applyFont="1" applyAlignment="1"/>
    <xf numFmtId="0" fontId="4"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xf numFmtId="14" fontId="0" fillId="0" borderId="0" xfId="0" applyNumberFormat="1" applyFont="1" applyAlignment="1">
      <alignment horizontal="left" indent="1"/>
    </xf>
    <xf numFmtId="0" fontId="4" fillId="0" borderId="0" xfId="0" applyFont="1" applyAlignment="1">
      <alignment horizontal="left"/>
    </xf>
    <xf numFmtId="0" fontId="5" fillId="0" borderId="0" xfId="0" applyFont="1" applyAlignment="1">
      <alignment horizontal="center" vertical="center" readingOrder="1"/>
    </xf>
    <xf numFmtId="167" fontId="1" fillId="0" borderId="0" xfId="0" applyNumberFormat="1" applyFont="1" applyAlignment="1"/>
    <xf numFmtId="168" fontId="1" fillId="0" borderId="0" xfId="0" applyNumberFormat="1" applyFont="1" applyAlignment="1"/>
    <xf numFmtId="169" fontId="0" fillId="0" borderId="0" xfId="0" applyNumberFormat="1" applyFont="1" applyAlignment="1"/>
    <xf numFmtId="1" fontId="1" fillId="0" borderId="0" xfId="0" applyNumberFormat="1" applyFont="1" applyAlignment="1"/>
    <xf numFmtId="1" fontId="0" fillId="0" borderId="0" xfId="0" applyNumberFormat="1" applyFont="1" applyAlignment="1"/>
    <xf numFmtId="0" fontId="0" fillId="2" borderId="0" xfId="0" applyFont="1" applyFill="1" applyAlignment="1">
      <alignment horizontal="left"/>
    </xf>
    <xf numFmtId="9" fontId="0" fillId="0" borderId="0" xfId="0" applyNumberFormat="1" applyFont="1" applyAlignment="1"/>
    <xf numFmtId="10" fontId="0" fillId="0" borderId="0" xfId="0" applyNumberFormat="1" applyFont="1" applyAlignment="1"/>
    <xf numFmtId="0" fontId="1" fillId="0" borderId="0" xfId="0" applyFont="1"/>
    <xf numFmtId="164" fontId="1" fillId="0" borderId="0" xfId="0" applyNumberFormat="1" applyFont="1" applyAlignment="1"/>
    <xf numFmtId="165" fontId="1" fillId="0" borderId="0" xfId="0" applyNumberFormat="1" applyFont="1" applyAlignment="1"/>
    <xf numFmtId="2" fontId="1" fillId="0" borderId="0" xfId="0" applyNumberFormat="1" applyFont="1" applyAlignment="1"/>
    <xf numFmtId="0" fontId="0" fillId="3" borderId="0" xfId="0" applyFont="1" applyFill="1" applyAlignment="1"/>
    <xf numFmtId="0" fontId="0" fillId="3" borderId="0" xfId="0" applyFont="1" applyFill="1" applyAlignment="1">
      <alignment horizontal="left"/>
    </xf>
    <xf numFmtId="0" fontId="0" fillId="3" borderId="0" xfId="0" applyNumberFormat="1" applyFont="1" applyFill="1" applyAlignment="1"/>
    <xf numFmtId="0" fontId="4" fillId="3" borderId="0" xfId="0" applyFont="1" applyFill="1" applyAlignment="1">
      <alignment horizontal="left"/>
    </xf>
    <xf numFmtId="10" fontId="0" fillId="3" borderId="0" xfId="0" applyNumberFormat="1" applyFont="1" applyFill="1" applyAlignment="1"/>
    <xf numFmtId="0" fontId="6" fillId="4" borderId="1" xfId="0" applyFont="1" applyFill="1" applyBorder="1"/>
    <xf numFmtId="14" fontId="0" fillId="3" borderId="0" xfId="0" applyNumberFormat="1" applyFont="1" applyFill="1" applyAlignment="1">
      <alignment horizontal="left" indent="1"/>
    </xf>
    <xf numFmtId="0" fontId="6" fillId="4" borderId="1" xfId="0" applyFont="1" applyFill="1" applyBorder="1" applyAlignment="1"/>
    <xf numFmtId="168" fontId="0" fillId="0" borderId="0" xfId="0" applyNumberFormat="1" applyFont="1" applyAlignment="1"/>
    <xf numFmtId="0" fontId="6" fillId="4" borderId="2" xfId="0" applyNumberFormat="1" applyFont="1" applyFill="1" applyBorder="1" applyAlignment="1"/>
    <xf numFmtId="0" fontId="0" fillId="0" borderId="0" xfId="0" applyFont="1" applyAlignment="1">
      <alignment horizontal="left" indent="1"/>
    </xf>
    <xf numFmtId="0" fontId="6" fillId="0" borderId="1" xfId="0" applyNumberFormat="1" applyFont="1" applyBorder="1" applyAlignment="1"/>
    <xf numFmtId="170" fontId="0" fillId="0" borderId="0" xfId="0" applyNumberFormat="1" applyFont="1" applyAlignment="1"/>
    <xf numFmtId="171" fontId="0" fillId="0" borderId="0" xfId="0" applyNumberFormat="1" applyFont="1" applyAlignment="1"/>
    <xf numFmtId="171" fontId="6" fillId="4" borderId="2" xfId="0" applyNumberFormat="1" applyFont="1" applyFill="1" applyBorder="1" applyAlignment="1"/>
    <xf numFmtId="0" fontId="7" fillId="4" borderId="1" xfId="0" applyFont="1" applyFill="1" applyBorder="1"/>
    <xf numFmtId="0" fontId="7" fillId="4" borderId="0" xfId="0" applyFont="1" applyFill="1"/>
    <xf numFmtId="0" fontId="7" fillId="4" borderId="0" xfId="0" applyFont="1" applyFill="1" applyAlignment="1"/>
    <xf numFmtId="0" fontId="7" fillId="4" borderId="1" xfId="0" applyFont="1" applyFill="1" applyBorder="1" applyAlignment="1"/>
    <xf numFmtId="0" fontId="7" fillId="4" borderId="0" xfId="0" applyFont="1" applyFill="1" applyBorder="1" applyAlignment="1"/>
    <xf numFmtId="0" fontId="7" fillId="4" borderId="1" xfId="0" pivotButton="1" applyFont="1" applyFill="1" applyBorder="1"/>
    <xf numFmtId="0" fontId="7" fillId="4" borderId="0" xfId="0" pivotButton="1" applyFont="1" applyFill="1" applyBorder="1" applyAlignment="1"/>
  </cellXfs>
  <cellStyles count="1">
    <cellStyle name="Normal" xfId="0" builtinId="0"/>
  </cellStyles>
  <dxfs count="127">
    <dxf>
      <font>
        <b val="0"/>
        <i val="0"/>
        <strike val="0"/>
        <condense val="0"/>
        <extend val="0"/>
        <outline val="0"/>
        <shadow val="0"/>
        <u val="none"/>
        <vertAlign val="baseline"/>
        <sz val="10"/>
        <color auto="1"/>
        <name val="Arial"/>
        <scheme val="none"/>
      </font>
      <numFmt numFmtId="165" formatCode="m/d/yyyy"/>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4" formatCode="#,##0.00"/>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4" formatCode="#,##0.00"/>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4" formatCode="#,##0.00"/>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4" formatCode="&quot;$&quot;#,##0.00"/>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numFmt numFmtId="169" formatCode="[$$-409]#,##0"/>
    </dxf>
    <dxf>
      <numFmt numFmtId="169" formatCode="[$$-409]#,##0"/>
    </dxf>
    <dxf>
      <numFmt numFmtId="0" formatCode="General"/>
    </dxf>
    <dxf>
      <font>
        <b val="0"/>
        <i val="0"/>
        <strike val="0"/>
        <condense val="0"/>
        <extend val="0"/>
        <outline val="0"/>
        <shadow val="0"/>
        <u val="none"/>
        <vertAlign val="baseline"/>
        <sz val="10"/>
        <color auto="1"/>
        <name val="Arial"/>
        <scheme val="none"/>
      </font>
      <numFmt numFmtId="168" formatCode="0.0%"/>
      <alignment horizontal="general" vertical="bottom" textRotation="0" wrapText="0" indent="0" justifyLastLine="0" shrinkToFit="0" readingOrder="0"/>
    </dxf>
    <dxf>
      <numFmt numFmtId="0" formatCode="General"/>
    </dxf>
    <dxf>
      <font>
        <b val="0"/>
        <i val="0"/>
        <strike val="0"/>
        <condense val="0"/>
        <extend val="0"/>
        <outline val="0"/>
        <shadow val="0"/>
        <u val="none"/>
        <vertAlign val="baseline"/>
        <sz val="10"/>
        <color auto="1"/>
        <name val="Arial"/>
        <scheme val="none"/>
      </font>
      <numFmt numFmtId="167" formatCode="[$$-409]#,##0.00"/>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7" formatCode="[$$-409]#,##0.00"/>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6" formatCode="&quot;₹&quot;\ #,##0.00"/>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7" formatCode="[$$-409]#,##0.00"/>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7" formatCode="[$$-409]#,##0.00"/>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7" formatCode="[$$-409]#,##0.00"/>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7" formatCode="[$$-409]#,##0.00"/>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7" formatCode="[$$-409]#,##0.00"/>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0" indent="0" justifyLastLine="0" shrinkToFit="0" readingOrder="0"/>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numFmt numFmtId="14" formatCode="0.00%"/>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numFmt numFmtId="13" formatCode="0%"/>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numFmt numFmtId="170" formatCode="0,,&quot;M&quot;"/>
    </dxf>
    <dxf>
      <fill>
        <patternFill patternType="solid">
          <bgColor theme="0" tint="-0.34998626667073579"/>
        </patternFill>
      </fill>
    </dxf>
    <dxf>
      <numFmt numFmtId="14" formatCode="0.00%"/>
    </dxf>
    <dxf>
      <numFmt numFmtId="14" formatCode="0.00%"/>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numFmt numFmtId="171" formatCode="0.0,,&quot;M&quot;"/>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ont>
        <color theme="0"/>
      </font>
      <fill>
        <patternFill patternType="solid">
          <bgColor theme="1"/>
        </patternFill>
      </fill>
      <border diagonalUp="0" diagonalDown="0">
        <left/>
        <right/>
        <top/>
        <bottom/>
        <vertical/>
        <horizontal/>
      </border>
    </dxf>
    <dxf>
      <font>
        <color auto="1"/>
      </font>
      <fill>
        <patternFill patternType="solid">
          <bgColor theme="1"/>
        </patternFill>
      </fill>
      <border diagonalUp="0" diagonalDown="0">
        <left/>
        <right/>
        <top/>
        <bottom/>
        <vertical/>
        <horizontal/>
      </border>
    </dxf>
  </dxfs>
  <tableStyles count="1" defaultTableStyle="TableStyleMedium2" defaultPivotStyle="PivotStyleLight16">
    <tableStyle name="SlicerStyleLight1 2" pivot="0" table="0" count="10" xr9:uid="{9152D8B1-1DDD-4507-8A5F-B8261D14B437}">
      <tableStyleElement type="wholeTable" dxfId="126"/>
      <tableStyleElement type="headerRow" dxfId="125"/>
    </tableStyle>
  </tableStyles>
  <colors>
    <mruColors>
      <color rgb="FF800080"/>
      <color rgb="FFCC99FF"/>
      <color rgb="FFFF9933"/>
      <color rgb="FFFFFFFF"/>
    </mruColors>
  </colors>
  <extLst>
    <ext xmlns:x14="http://schemas.microsoft.com/office/spreadsheetml/2009/9/main" uri="{46F421CA-312F-682f-3DD2-61675219B42D}">
      <x14:dxfs count="8">
        <dxf>
          <font>
            <color rgb="FF000000"/>
          </font>
          <fill>
            <patternFill patternType="solid">
              <fgColor auto="1"/>
              <bgColor rgb="FF800080"/>
            </patternFill>
          </fill>
          <border diagonalUp="0" diagonalDown="0">
            <left/>
            <right/>
            <top/>
            <bottom/>
            <vertical/>
            <horizontal/>
          </border>
        </dxf>
        <dxf>
          <font>
            <color theme="0"/>
          </font>
          <fill>
            <patternFill patternType="solid">
              <fgColor auto="1"/>
              <bgColor rgb="FF800080"/>
            </patternFill>
          </fill>
          <border diagonalUp="0" diagonalDown="0">
            <left/>
            <right/>
            <top/>
            <bottom/>
            <vertical/>
            <horizontal/>
          </border>
        </dxf>
        <dxf>
          <font>
            <color theme="1"/>
          </font>
          <fill>
            <patternFill patternType="solid">
              <fgColor auto="1"/>
              <bgColor rgb="FF800080"/>
            </patternFill>
          </fill>
          <border diagonalUp="0" diagonalDown="0">
            <left/>
            <right/>
            <top/>
            <bottom/>
            <vertical/>
            <horizontal/>
          </border>
        </dxf>
        <dxf>
          <font>
            <color theme="1"/>
          </font>
          <fill>
            <patternFill patternType="solid">
              <fgColor auto="1"/>
              <bgColor rgb="FF800080"/>
            </patternFill>
          </fill>
          <border diagonalUp="0" diagonalDown="0">
            <left/>
            <right/>
            <top/>
            <bottom/>
            <vertical/>
            <horizontal/>
          </border>
        </dxf>
        <dxf>
          <font>
            <color theme="1"/>
          </font>
          <fill>
            <patternFill>
              <bgColor rgb="FF800080"/>
            </patternFill>
          </fill>
        </dxf>
        <dxf>
          <font>
            <color theme="0"/>
          </font>
          <fill>
            <patternFill>
              <bgColor rgb="FF800080"/>
            </patternFill>
          </fill>
        </dxf>
        <dxf>
          <font>
            <color theme="0" tint="-0.24994659260841701"/>
          </font>
          <fill>
            <patternFill patternType="solid">
              <fgColor rgb="FFFFFFFF"/>
              <bgColor theme="0"/>
            </patternFill>
          </fill>
          <border diagonalUp="0" diagonalDown="0">
            <left/>
            <right/>
            <top/>
            <bottom/>
            <vertical/>
            <horizontal/>
          </border>
        </dxf>
        <dxf>
          <font>
            <color auto="1"/>
          </font>
          <fill>
            <patternFill patternType="solid">
              <fgColor rgb="FFFFFFFF"/>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5.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6.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7.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9.xml"/><Relationship Id="rId1" Type="http://schemas.microsoft.com/office/2011/relationships/chartStyle" Target="style49.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50.xml"/><Relationship Id="rId1" Type="http://schemas.microsoft.com/office/2011/relationships/chartStyle" Target="style50.xml"/></Relationships>
</file>

<file path=xl/charts/_rels/chart5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51.xml"/><Relationship Id="rId1" Type="http://schemas.microsoft.com/office/2011/relationships/chartStyle" Target="style51.xml"/></Relationships>
</file>

<file path=xl/charts/_rels/chart51.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2.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3.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4.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5.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6.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7.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8.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59.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0.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1.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2.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3.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4.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5.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6.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7.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8.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Ex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Excel.xlsx]Pivot-Analysis!Sales by Product</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'Pivot-Analysis'!$B$91</c:f>
              <c:strCache>
                <c:ptCount val="1"/>
                <c:pt idx="0">
                  <c:v>Total</c:v>
                </c:pt>
              </c:strCache>
            </c:strRef>
          </c:tx>
          <c:spPr>
            <a:solidFill>
              <a:schemeClr val="accent1"/>
            </a:solidFill>
            <a:ln>
              <a:noFill/>
            </a:ln>
            <a:effectLst/>
          </c:spPr>
          <c:invertIfNegative val="0"/>
          <c:cat>
            <c:strRef>
              <c:f>'Pivot-Analysis'!$A$92:$A$98</c:f>
              <c:strCache>
                <c:ptCount val="6"/>
                <c:pt idx="0">
                  <c:v>Paseo</c:v>
                </c:pt>
                <c:pt idx="1">
                  <c:v>VTT</c:v>
                </c:pt>
                <c:pt idx="2">
                  <c:v>Velo</c:v>
                </c:pt>
                <c:pt idx="3">
                  <c:v>Amarilla</c:v>
                </c:pt>
                <c:pt idx="4">
                  <c:v>Montana</c:v>
                </c:pt>
                <c:pt idx="5">
                  <c:v>Carretera</c:v>
                </c:pt>
              </c:strCache>
            </c:strRef>
          </c:cat>
          <c:val>
            <c:numRef>
              <c:f>'Pivot-Analysis'!$B$92:$B$98</c:f>
              <c:numCache>
                <c:formatCode>General</c:formatCode>
                <c:ptCount val="6"/>
                <c:pt idx="0">
                  <c:v>33011143.960000001</c:v>
                </c:pt>
                <c:pt idx="1">
                  <c:v>20511921.020000003</c:v>
                </c:pt>
                <c:pt idx="2">
                  <c:v>18250059.469999999</c:v>
                </c:pt>
                <c:pt idx="3">
                  <c:v>17747116.069999997</c:v>
                </c:pt>
                <c:pt idx="4">
                  <c:v>15390801.880000003</c:v>
                </c:pt>
                <c:pt idx="5">
                  <c:v>13815307.889999999</c:v>
                </c:pt>
              </c:numCache>
            </c:numRef>
          </c:val>
          <c:extLst>
            <c:ext xmlns:c16="http://schemas.microsoft.com/office/drawing/2014/chart" uri="{C3380CC4-5D6E-409C-BE32-E72D297353CC}">
              <c16:uniqueId val="{00000000-6CF2-4FD2-89D8-424B049611D4}"/>
            </c:ext>
          </c:extLst>
        </c:ser>
        <c:dLbls>
          <c:showLegendKey val="0"/>
          <c:showVal val="0"/>
          <c:showCatName val="0"/>
          <c:showSerName val="0"/>
          <c:showPercent val="0"/>
          <c:showBubbleSize val="0"/>
        </c:dLbls>
        <c:gapWidth val="219"/>
        <c:overlap val="-27"/>
        <c:axId val="1053032752"/>
        <c:axId val="1121990448"/>
      </c:barChart>
      <c:catAx>
        <c:axId val="105303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990448"/>
        <c:crosses val="autoZero"/>
        <c:auto val="1"/>
        <c:lblAlgn val="ctr"/>
        <c:lblOffset val="100"/>
        <c:noMultiLvlLbl val="0"/>
      </c:catAx>
      <c:valAx>
        <c:axId val="112199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03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Excel.xlsx]Pivot-Analysis!Sales by Product</c:name>
    <c:fmtId val="1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pivotFmt>
      <c:pivotFmt>
        <c:idx val="3"/>
        <c:spPr>
          <a:solidFill>
            <a:schemeClr val="bg1"/>
          </a:solidFill>
          <a:ln>
            <a:noFill/>
          </a:ln>
          <a:effectLst/>
        </c:spPr>
        <c:marker>
          <c:symbol val="none"/>
        </c:marker>
      </c:pivotFmt>
      <c:pivotFmt>
        <c:idx val="4"/>
        <c:spPr>
          <a:solidFill>
            <a:schemeClr val="bg1"/>
          </a:solidFill>
          <a:ln>
            <a:noFill/>
          </a:ln>
          <a:effectLst/>
        </c:spPr>
        <c:marker>
          <c:symbol val="none"/>
        </c:marker>
      </c:pivotFmt>
    </c:pivotFmts>
    <c:plotArea>
      <c:layout/>
      <c:barChart>
        <c:barDir val="col"/>
        <c:grouping val="clustered"/>
        <c:varyColors val="0"/>
        <c:ser>
          <c:idx val="0"/>
          <c:order val="0"/>
          <c:tx>
            <c:strRef>
              <c:f>'Pivot-Analysis'!$B$91</c:f>
              <c:strCache>
                <c:ptCount val="1"/>
                <c:pt idx="0">
                  <c:v>Total</c:v>
                </c:pt>
              </c:strCache>
            </c:strRef>
          </c:tx>
          <c:spPr>
            <a:solidFill>
              <a:schemeClr val="bg1"/>
            </a:solidFill>
            <a:ln>
              <a:noFill/>
            </a:ln>
            <a:effectLst/>
          </c:spPr>
          <c:invertIfNegative val="0"/>
          <c:cat>
            <c:strRef>
              <c:f>'Pivot-Analysis'!$A$92:$A$98</c:f>
              <c:strCache>
                <c:ptCount val="6"/>
                <c:pt idx="0">
                  <c:v>Paseo</c:v>
                </c:pt>
                <c:pt idx="1">
                  <c:v>VTT</c:v>
                </c:pt>
                <c:pt idx="2">
                  <c:v>Velo</c:v>
                </c:pt>
                <c:pt idx="3">
                  <c:v>Amarilla</c:v>
                </c:pt>
                <c:pt idx="4">
                  <c:v>Montana</c:v>
                </c:pt>
                <c:pt idx="5">
                  <c:v>Carretera</c:v>
                </c:pt>
              </c:strCache>
            </c:strRef>
          </c:cat>
          <c:val>
            <c:numRef>
              <c:f>'Pivot-Analysis'!$B$92:$B$98</c:f>
              <c:numCache>
                <c:formatCode>General</c:formatCode>
                <c:ptCount val="6"/>
                <c:pt idx="0">
                  <c:v>33011143.960000001</c:v>
                </c:pt>
                <c:pt idx="1">
                  <c:v>20511921.020000003</c:v>
                </c:pt>
                <c:pt idx="2">
                  <c:v>18250059.469999999</c:v>
                </c:pt>
                <c:pt idx="3">
                  <c:v>17747116.069999997</c:v>
                </c:pt>
                <c:pt idx="4">
                  <c:v>15390801.880000003</c:v>
                </c:pt>
                <c:pt idx="5">
                  <c:v>13815307.889999999</c:v>
                </c:pt>
              </c:numCache>
            </c:numRef>
          </c:val>
          <c:extLst>
            <c:ext xmlns:c16="http://schemas.microsoft.com/office/drawing/2014/chart" uri="{C3380CC4-5D6E-409C-BE32-E72D297353CC}">
              <c16:uniqueId val="{00000000-EF37-433D-857D-418FFA7D1A92}"/>
            </c:ext>
          </c:extLst>
        </c:ser>
        <c:dLbls>
          <c:showLegendKey val="0"/>
          <c:showVal val="0"/>
          <c:showCatName val="0"/>
          <c:showSerName val="0"/>
          <c:showPercent val="0"/>
          <c:showBubbleSize val="0"/>
        </c:dLbls>
        <c:gapWidth val="219"/>
        <c:overlap val="-27"/>
        <c:axId val="1053032752"/>
        <c:axId val="1121990448"/>
      </c:barChart>
      <c:catAx>
        <c:axId val="105303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1990448"/>
        <c:crosses val="autoZero"/>
        <c:auto val="1"/>
        <c:lblAlgn val="ctr"/>
        <c:lblOffset val="100"/>
        <c:noMultiLvlLbl val="0"/>
      </c:catAx>
      <c:valAx>
        <c:axId val="112199044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303275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[Mini Project Data - Sales &amp; Profit Analysis with Excel.xlsx]Pivot-Analysis!Sales by Segment</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ysClr val="window" lastClr="FFFFFF"/>
          </a:solidFill>
          <a:ln>
            <a:noFill/>
          </a:ln>
          <a:effectLst/>
        </c:spPr>
        <c:marker>
          <c:symbol val="none"/>
        </c:marker>
      </c:pivotFmt>
      <c:pivotFmt>
        <c:idx val="3"/>
        <c:spPr>
          <a:solidFill>
            <a:sysClr val="window" lastClr="FFFFFF"/>
          </a:solidFill>
          <a:ln>
            <a:noFill/>
          </a:ln>
          <a:effectLst/>
        </c:spPr>
        <c:marker>
          <c:symbol val="none"/>
        </c:marker>
      </c:pivotFmt>
      <c:pivotFmt>
        <c:idx val="4"/>
        <c:spPr>
          <a:solidFill>
            <a:sysClr val="window" lastClr="FFFFFF"/>
          </a:solidFill>
          <a:ln>
            <a:noFill/>
          </a:ln>
          <a:effectLst/>
        </c:spPr>
        <c:marker>
          <c:symbol val="none"/>
        </c:marker>
      </c:pivotFmt>
    </c:pivotFmts>
    <c:plotArea>
      <c:layout>
        <c:manualLayout>
          <c:layoutTarget val="inner"/>
          <c:xMode val="edge"/>
          <c:yMode val="edge"/>
          <c:x val="0.29861393076431075"/>
          <c:y val="9.3418196554025404E-2"/>
          <c:w val="0.60824483068062374"/>
          <c:h val="0.67385748275073454"/>
        </c:manualLayout>
      </c:layout>
      <c:barChart>
        <c:barDir val="bar"/>
        <c:grouping val="clustered"/>
        <c:varyColors val="0"/>
        <c:ser>
          <c:idx val="0"/>
          <c:order val="0"/>
          <c:tx>
            <c:strRef>
              <c:f>'Pivot-Analysis'!$B$29</c:f>
              <c:strCache>
                <c:ptCount val="1"/>
                <c:pt idx="0">
                  <c:v>Total</c:v>
                </c:pt>
              </c:strCache>
            </c:strRef>
          </c:tx>
          <c:spPr>
            <a:solidFill>
              <a:sysClr val="window" lastClr="FFFFFF"/>
            </a:solidFill>
            <a:ln>
              <a:noFill/>
            </a:ln>
            <a:effectLst/>
          </c:spPr>
          <c:invertIfNegative val="0"/>
          <c:cat>
            <c:strRef>
              <c:f>'Pivot-Analysis'!$A$30:$A$35</c:f>
              <c:strCache>
                <c:ptCount val="5"/>
                <c:pt idx="0">
                  <c:v>Channel Partners</c:v>
                </c:pt>
                <c:pt idx="1">
                  <c:v>Midmarket</c:v>
                </c:pt>
                <c:pt idx="2">
                  <c:v>Enterprise</c:v>
                </c:pt>
                <c:pt idx="3">
                  <c:v>Small Business</c:v>
                </c:pt>
                <c:pt idx="4">
                  <c:v>Government</c:v>
                </c:pt>
              </c:strCache>
            </c:strRef>
          </c:cat>
          <c:val>
            <c:numRef>
              <c:f>'Pivot-Analysis'!$B$30:$B$35</c:f>
              <c:numCache>
                <c:formatCode>General</c:formatCode>
                <c:ptCount val="5"/>
                <c:pt idx="0">
                  <c:v>1800593.6399999997</c:v>
                </c:pt>
                <c:pt idx="1">
                  <c:v>2381883.09</c:v>
                </c:pt>
                <c:pt idx="2">
                  <c:v>19611694.380000003</c:v>
                </c:pt>
                <c:pt idx="3">
                  <c:v>42427918.5</c:v>
                </c:pt>
                <c:pt idx="4">
                  <c:v>52504260.680000022</c:v>
                </c:pt>
              </c:numCache>
            </c:numRef>
          </c:val>
          <c:extLst>
            <c:ext xmlns:c16="http://schemas.microsoft.com/office/drawing/2014/chart" uri="{C3380CC4-5D6E-409C-BE32-E72D297353CC}">
              <c16:uniqueId val="{00000000-0D8D-4E4A-B10E-16B565800606}"/>
            </c:ext>
          </c:extLst>
        </c:ser>
        <c:dLbls>
          <c:showLegendKey val="0"/>
          <c:showVal val="0"/>
          <c:showCatName val="0"/>
          <c:showSerName val="0"/>
          <c:showPercent val="0"/>
          <c:showBubbleSize val="0"/>
        </c:dLbls>
        <c:gapWidth val="128"/>
        <c:axId val="859428672"/>
        <c:axId val="1065984128"/>
      </c:barChart>
      <c:valAx>
        <c:axId val="1065984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9428672"/>
        <c:crosses val="autoZero"/>
        <c:crossBetween val="between"/>
        <c:dispUnits>
          <c:builtInUnit val="millions"/>
          <c:dispUnitsLbl>
            <c:layout>
              <c:manualLayout>
                <c:xMode val="edge"/>
                <c:yMode val="edge"/>
                <c:x val="0.46732637979120017"/>
                <c:y val="0.8645696945218285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catAx>
        <c:axId val="859428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59841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[Mini Project Data - Sales &amp; Profit Analysis with Excel.xlsx]Pivot-Analysis!Sales by Market</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0356652949245491E-2"/>
              <c:y val="4.14507772020726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5.7613168724279837E-2"/>
              <c:y val="-2.07253886010363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0356652949245491E-2"/>
              <c:y val="4.14507772020726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7613168724279837E-2"/>
              <c:y val="-2.07253886010363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noFill/>
          <a:ln w="19050">
            <a:solidFill>
              <a:schemeClr val="lt1"/>
            </a:solidFill>
          </a:ln>
          <a:effectLst/>
        </c:spPr>
        <c:dLbl>
          <c:idx val="0"/>
          <c:layout>
            <c:manualLayout>
              <c:x val="8.6737093806334792E-2"/>
              <c:y val="-5.2825366526153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ysClr val="window" lastClr="FFFFFF"/>
          </a:solidFill>
          <a:ln w="19050">
            <a:solidFill>
              <a:schemeClr val="lt1"/>
            </a:solidFill>
          </a:ln>
          <a:effectLst/>
        </c:spPr>
        <c:dLbl>
          <c:idx val="0"/>
          <c:layout>
            <c:manualLayout>
              <c:x val="-0.11320536890184101"/>
              <c:y val="8.0284737135130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noFill/>
          <a:ln w="19050">
            <a:solidFill>
              <a:schemeClr val="lt1"/>
            </a:solidFill>
          </a:ln>
          <a:effectLst/>
        </c:spPr>
        <c:dLbl>
          <c:idx val="0"/>
          <c:layout>
            <c:manualLayout>
              <c:x val="8.6737093806334792E-2"/>
              <c:y val="-5.2825366526153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ysClr val="window" lastClr="FFFFFF"/>
          </a:solidFill>
          <a:ln w="19050">
            <a:solidFill>
              <a:schemeClr val="lt1"/>
            </a:solidFill>
          </a:ln>
          <a:effectLst/>
        </c:spPr>
        <c:dLbl>
          <c:idx val="0"/>
          <c:layout>
            <c:manualLayout>
              <c:x val="-0.11320536890184101"/>
              <c:y val="8.0284737135130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noFill/>
          <a:ln w="19050">
            <a:solidFill>
              <a:schemeClr val="lt1"/>
            </a:solidFill>
          </a:ln>
          <a:effectLst/>
        </c:spPr>
        <c:dLbl>
          <c:idx val="0"/>
          <c:layout>
            <c:manualLayout>
              <c:x val="0.25904494245911569"/>
              <c:y val="-0.101904899924319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ysClr val="window" lastClr="FFFFFF"/>
          </a:solidFill>
          <a:ln w="19050">
            <a:solidFill>
              <a:schemeClr val="lt1"/>
            </a:solidFill>
          </a:ln>
          <a:effectLst/>
        </c:spPr>
        <c:dLbl>
          <c:idx val="0"/>
          <c:layout>
            <c:manualLayout>
              <c:x val="-0.21361502119927317"/>
              <c:y val="0.1306648632111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'Pivot-Analysis'!$B$3</c:f>
              <c:strCache>
                <c:ptCount val="1"/>
                <c:pt idx="0">
                  <c:v>Total</c:v>
                </c:pt>
              </c:strCache>
            </c:strRef>
          </c:tx>
          <c:dPt>
            <c:idx val="0"/>
            <c:bubble3D val="0"/>
            <c:spPr>
              <a:noFill/>
              <a:ln w="19050">
                <a:solidFill>
                  <a:schemeClr val="lt1"/>
                </a:solidFill>
              </a:ln>
              <a:effectLst/>
            </c:spPr>
            <c:extLst>
              <c:ext xmlns:c16="http://schemas.microsoft.com/office/drawing/2014/chart" uri="{C3380CC4-5D6E-409C-BE32-E72D297353CC}">
                <c16:uniqueId val="{00000001-B956-477A-83EB-5F357F9D9BE7}"/>
              </c:ext>
            </c:extLst>
          </c:dPt>
          <c:dPt>
            <c:idx val="1"/>
            <c:bubble3D val="0"/>
            <c:spPr>
              <a:solidFill>
                <a:sysClr val="window" lastClr="FFFFFF"/>
              </a:solidFill>
              <a:ln w="19050">
                <a:solidFill>
                  <a:schemeClr val="lt1"/>
                </a:solidFill>
              </a:ln>
              <a:effectLst/>
            </c:spPr>
            <c:extLst>
              <c:ext xmlns:c16="http://schemas.microsoft.com/office/drawing/2014/chart" uri="{C3380CC4-5D6E-409C-BE32-E72D297353CC}">
                <c16:uniqueId val="{00000003-B956-477A-83EB-5F357F9D9BE7}"/>
              </c:ext>
            </c:extLst>
          </c:dPt>
          <c:dLbls>
            <c:dLbl>
              <c:idx val="0"/>
              <c:layout>
                <c:manualLayout>
                  <c:x val="0.25904494245911569"/>
                  <c:y val="-0.1019048999243192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56-477A-83EB-5F357F9D9BE7}"/>
                </c:ext>
              </c:extLst>
            </c:dLbl>
            <c:dLbl>
              <c:idx val="1"/>
              <c:layout>
                <c:manualLayout>
                  <c:x val="-0.21361502119927317"/>
                  <c:y val="0.1306648632111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956-477A-83EB-5F357F9D9B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'Pivot-Analysis'!$A$4:$A$6</c:f>
              <c:strCache>
                <c:ptCount val="2"/>
                <c:pt idx="0">
                  <c:v>Europe</c:v>
                </c:pt>
                <c:pt idx="1">
                  <c:v>North America</c:v>
                </c:pt>
              </c:strCache>
            </c:strRef>
          </c:cat>
          <c:val>
            <c:numRef>
              <c:f>'Pivot-Analysis'!$B$4:$B$6</c:f>
              <c:numCache>
                <c:formatCode>General</c:formatCode>
                <c:ptCount val="2"/>
                <c:pt idx="0">
                  <c:v>47859513.110000014</c:v>
                </c:pt>
                <c:pt idx="1">
                  <c:v>70866837.179999992</c:v>
                </c:pt>
              </c:numCache>
            </c:numRef>
          </c:val>
          <c:extLst>
            <c:ext xmlns:c16="http://schemas.microsoft.com/office/drawing/2014/chart" uri="{C3380CC4-5D6E-409C-BE32-E72D297353CC}">
              <c16:uniqueId val="{00000004-B956-477A-83EB-5F357F9D9BE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[Mini Project Data - Sales &amp; Profit Analysis with Excel.xlsx]Pivot-Analysis!Sales by Country</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ysClr val="window" lastClr="FFFFFF"/>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ysClr val="window" lastClr="FFFFFF"/>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ysClr val="window" lastClr="FFFFFF"/>
          </a:solidFill>
          <a:ln>
            <a:noFill/>
          </a:ln>
          <a:effectLst/>
        </c:spPr>
        <c:marker>
          <c:symbol val="none"/>
        </c:marker>
      </c:pivotFmt>
      <c:pivotFmt>
        <c:idx val="9"/>
        <c:spPr>
          <a:ln w="28575" cap="rnd">
            <a:solidFill>
              <a:srgbClr val="CC99FF"/>
            </a:solidFill>
            <a:round/>
          </a:ln>
          <a:effectLst/>
        </c:spPr>
        <c:marker>
          <c:symbol val="none"/>
        </c:marker>
      </c:pivotFmt>
      <c:pivotFmt>
        <c:idx val="10"/>
        <c:spPr>
          <a:ln w="28575" cap="rnd">
            <a:solidFill>
              <a:srgbClr val="CC99FF"/>
            </a:solidFill>
            <a:round/>
          </a:ln>
          <a:effectLst/>
        </c:spPr>
        <c:marker>
          <c:symbol val="none"/>
        </c:marker>
      </c:pivotFmt>
      <c:pivotFmt>
        <c:idx val="11"/>
        <c:spPr>
          <a:ln w="28575" cap="rnd">
            <a:solidFill>
              <a:srgbClr val="CC99FF"/>
            </a:solidFill>
            <a:round/>
          </a:ln>
          <a:effectLst/>
        </c:spPr>
        <c:marker>
          <c:symbol val="none"/>
        </c:marker>
      </c:pivotFmt>
      <c:pivotFmt>
        <c:idx val="12"/>
        <c:spPr>
          <a:ln w="28575" cap="rnd">
            <a:solidFill>
              <a:srgbClr val="CC99FF"/>
            </a:solidFill>
            <a:round/>
          </a:ln>
          <a:effectLst/>
        </c:spPr>
        <c:marker>
          <c:symbol val="none"/>
        </c:marker>
      </c:pivotFmt>
      <c:pivotFmt>
        <c:idx val="13"/>
        <c:spPr>
          <a:ln w="28575" cap="rnd">
            <a:solidFill>
              <a:srgbClr val="CC99FF"/>
            </a:solidFill>
            <a:round/>
          </a:ln>
          <a:effectLst/>
        </c:spPr>
        <c:marker>
          <c:symbol val="none"/>
        </c:marker>
      </c:pivotFmt>
      <c:pivotFmt>
        <c:idx val="14"/>
        <c:spPr>
          <a:ln w="28575" cap="rnd">
            <a:solidFill>
              <a:srgbClr val="CC99FF"/>
            </a:solidFill>
            <a:round/>
          </a:ln>
          <a:effectLst/>
        </c:spPr>
        <c:marker>
          <c:symbol val="none"/>
        </c:marker>
      </c:pivotFmt>
    </c:pivotFmts>
    <c:plotArea>
      <c:layout/>
      <c:barChart>
        <c:barDir val="col"/>
        <c:grouping val="clustered"/>
        <c:varyColors val="0"/>
        <c:ser>
          <c:idx val="0"/>
          <c:order val="0"/>
          <c:tx>
            <c:strRef>
              <c:f>'Pivot-Analysis'!$B$16</c:f>
              <c:strCache>
                <c:ptCount val="1"/>
                <c:pt idx="0">
                  <c:v>Sum of Sales</c:v>
                </c:pt>
              </c:strCache>
            </c:strRef>
          </c:tx>
          <c:spPr>
            <a:solidFill>
              <a:sysClr val="window" lastClr="FFFFFF"/>
            </a:solidFill>
            <a:ln>
              <a:noFill/>
            </a:ln>
            <a:effectLst/>
          </c:spPr>
          <c:invertIfNegative val="0"/>
          <c:cat>
            <c:strRef>
              <c:f>'Pivot-Analysis'!$A$17:$A$22</c:f>
              <c:strCache>
                <c:ptCount val="5"/>
                <c:pt idx="0">
                  <c:v>United States of America</c:v>
                </c:pt>
                <c:pt idx="1">
                  <c:v>Canada</c:v>
                </c:pt>
                <c:pt idx="2">
                  <c:v>France</c:v>
                </c:pt>
                <c:pt idx="3">
                  <c:v>Germany</c:v>
                </c:pt>
                <c:pt idx="4">
                  <c:v>Mexico</c:v>
                </c:pt>
              </c:strCache>
            </c:strRef>
          </c:cat>
          <c:val>
            <c:numRef>
              <c:f>'Pivot-Analysis'!$B$17:$B$22</c:f>
              <c:numCache>
                <c:formatCode>General</c:formatCode>
                <c:ptCount val="5"/>
                <c:pt idx="0">
                  <c:v>25029830.18</c:v>
                </c:pt>
                <c:pt idx="1">
                  <c:v>24887654.889999993</c:v>
                </c:pt>
                <c:pt idx="2">
                  <c:v>24354172.289999995</c:v>
                </c:pt>
                <c:pt idx="3">
                  <c:v>23505340.82</c:v>
                </c:pt>
                <c:pt idx="4">
                  <c:v>20949352.109999999</c:v>
                </c:pt>
              </c:numCache>
            </c:numRef>
          </c:val>
          <c:extLst>
            <c:ext xmlns:c16="http://schemas.microsoft.com/office/drawing/2014/chart" uri="{C3380CC4-5D6E-409C-BE32-E72D297353CC}">
              <c16:uniqueId val="{00000000-1D41-4021-AF18-92776DE26FE8}"/>
            </c:ext>
          </c:extLst>
        </c:ser>
        <c:dLbls>
          <c:showLegendKey val="0"/>
          <c:showVal val="0"/>
          <c:showCatName val="0"/>
          <c:showSerName val="0"/>
          <c:showPercent val="0"/>
          <c:showBubbleSize val="0"/>
        </c:dLbls>
        <c:gapWidth val="219"/>
        <c:axId val="965627376"/>
        <c:axId val="961794400"/>
      </c:barChart>
      <c:lineChart>
        <c:grouping val="standard"/>
        <c:varyColors val="0"/>
        <c:ser>
          <c:idx val="1"/>
          <c:order val="1"/>
          <c:tx>
            <c:strRef>
              <c:f>'Pivot-Analysis'!$C$16</c:f>
              <c:strCache>
                <c:ptCount val="1"/>
                <c:pt idx="0">
                  <c:v>Sum of Profit</c:v>
                </c:pt>
              </c:strCache>
            </c:strRef>
          </c:tx>
          <c:spPr>
            <a:ln w="28575" cap="rnd">
              <a:solidFill>
                <a:srgbClr val="CC99FF"/>
              </a:solidFill>
              <a:round/>
            </a:ln>
            <a:effectLst/>
          </c:spPr>
          <c:marker>
            <c:symbol val="none"/>
          </c:marker>
          <c:dPt>
            <c:idx val="0"/>
            <c:marker>
              <c:symbol val="none"/>
            </c:marker>
            <c:bubble3D val="0"/>
            <c:spPr>
              <a:ln w="28575" cap="rnd">
                <a:solidFill>
                  <a:srgbClr val="CC99FF"/>
                </a:solidFill>
                <a:round/>
              </a:ln>
              <a:effectLst/>
            </c:spPr>
            <c:extLst>
              <c:ext xmlns:c16="http://schemas.microsoft.com/office/drawing/2014/chart" uri="{C3380CC4-5D6E-409C-BE32-E72D297353CC}">
                <c16:uniqueId val="{00000001-D99E-4AAF-9C39-894623A0BF93}"/>
              </c:ext>
            </c:extLst>
          </c:dPt>
          <c:dPt>
            <c:idx val="1"/>
            <c:marker>
              <c:symbol val="none"/>
            </c:marker>
            <c:bubble3D val="0"/>
            <c:spPr>
              <a:ln w="28575" cap="rnd">
                <a:solidFill>
                  <a:srgbClr val="CC99FF"/>
                </a:solidFill>
                <a:round/>
              </a:ln>
              <a:effectLst/>
            </c:spPr>
            <c:extLst>
              <c:ext xmlns:c16="http://schemas.microsoft.com/office/drawing/2014/chart" uri="{C3380CC4-5D6E-409C-BE32-E72D297353CC}">
                <c16:uniqueId val="{00000002-7477-48BF-8FFF-53AAA4F4FB90}"/>
              </c:ext>
            </c:extLst>
          </c:dPt>
          <c:dPt>
            <c:idx val="2"/>
            <c:marker>
              <c:symbol val="none"/>
            </c:marker>
            <c:bubble3D val="0"/>
            <c:spPr>
              <a:ln w="28575" cap="rnd">
                <a:solidFill>
                  <a:srgbClr val="CC99FF"/>
                </a:solidFill>
                <a:round/>
              </a:ln>
              <a:effectLst/>
            </c:spPr>
            <c:extLst>
              <c:ext xmlns:c16="http://schemas.microsoft.com/office/drawing/2014/chart" uri="{C3380CC4-5D6E-409C-BE32-E72D297353CC}">
                <c16:uniqueId val="{00000002-1D41-4021-AF18-92776DE26FE8}"/>
              </c:ext>
            </c:extLst>
          </c:dPt>
          <c:dPt>
            <c:idx val="3"/>
            <c:marker>
              <c:symbol val="none"/>
            </c:marker>
            <c:bubble3D val="0"/>
            <c:spPr>
              <a:ln w="28575" cap="rnd">
                <a:solidFill>
                  <a:srgbClr val="CC99FF"/>
                </a:solidFill>
                <a:round/>
              </a:ln>
              <a:effectLst/>
            </c:spPr>
            <c:extLst>
              <c:ext xmlns:c16="http://schemas.microsoft.com/office/drawing/2014/chart" uri="{C3380CC4-5D6E-409C-BE32-E72D297353CC}">
                <c16:uniqueId val="{00000002-812A-4351-B40A-BC222BD7A5B9}"/>
              </c:ext>
            </c:extLst>
          </c:dPt>
          <c:dPt>
            <c:idx val="4"/>
            <c:marker>
              <c:symbol val="none"/>
            </c:marker>
            <c:bubble3D val="0"/>
            <c:spPr>
              <a:ln w="28575" cap="rnd">
                <a:solidFill>
                  <a:srgbClr val="CC99FF"/>
                </a:solidFill>
                <a:round/>
              </a:ln>
              <a:effectLst/>
            </c:spPr>
            <c:extLst>
              <c:ext xmlns:c16="http://schemas.microsoft.com/office/drawing/2014/chart" uri="{C3380CC4-5D6E-409C-BE32-E72D297353CC}">
                <c16:uniqueId val="{00000006-C84C-4911-A080-9642210302DC}"/>
              </c:ext>
            </c:extLst>
          </c:dPt>
          <c:cat>
            <c:strRef>
              <c:f>'Pivot-Analysis'!$A$17:$A$22</c:f>
              <c:strCache>
                <c:ptCount val="5"/>
                <c:pt idx="0">
                  <c:v>United States of America</c:v>
                </c:pt>
                <c:pt idx="1">
                  <c:v>Canada</c:v>
                </c:pt>
                <c:pt idx="2">
                  <c:v>France</c:v>
                </c:pt>
                <c:pt idx="3">
                  <c:v>Germany</c:v>
                </c:pt>
                <c:pt idx="4">
                  <c:v>Mexico</c:v>
                </c:pt>
              </c:strCache>
            </c:strRef>
          </c:cat>
          <c:val>
            <c:numRef>
              <c:f>'Pivot-Analysis'!$C$17:$C$22</c:f>
              <c:numCache>
                <c:formatCode>General</c:formatCode>
                <c:ptCount val="5"/>
                <c:pt idx="0">
                  <c:v>2995540.6799999997</c:v>
                </c:pt>
                <c:pt idx="1">
                  <c:v>3529228.89</c:v>
                </c:pt>
                <c:pt idx="2">
                  <c:v>3781020.79</c:v>
                </c:pt>
                <c:pt idx="3">
                  <c:v>3680388.8200000012</c:v>
                </c:pt>
                <c:pt idx="4">
                  <c:v>2907523.1100000003</c:v>
                </c:pt>
              </c:numCache>
            </c:numRef>
          </c:val>
          <c:smooth val="0"/>
          <c:extLst>
            <c:ext xmlns:c16="http://schemas.microsoft.com/office/drawing/2014/chart" uri="{C3380CC4-5D6E-409C-BE32-E72D297353CC}">
              <c16:uniqueId val="{00000001-1D41-4021-AF18-92776DE26FE8}"/>
            </c:ext>
          </c:extLst>
        </c:ser>
        <c:dLbls>
          <c:showLegendKey val="0"/>
          <c:showVal val="0"/>
          <c:showCatName val="0"/>
          <c:showSerName val="0"/>
          <c:showPercent val="0"/>
          <c:showBubbleSize val="0"/>
        </c:dLbls>
        <c:marker val="1"/>
        <c:smooth val="0"/>
        <c:axId val="1060473232"/>
        <c:axId val="1060497600"/>
      </c:lineChart>
      <c:catAx>
        <c:axId val="96562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1794400"/>
        <c:crosses val="autoZero"/>
        <c:auto val="1"/>
        <c:lblAlgn val="ctr"/>
        <c:lblOffset val="100"/>
        <c:noMultiLvlLbl val="0"/>
      </c:catAx>
      <c:valAx>
        <c:axId val="9617944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562737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valAx>
        <c:axId val="10604976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0473232"/>
        <c:crosses val="max"/>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catAx>
        <c:axId val="1060473232"/>
        <c:scaling>
          <c:orientation val="minMax"/>
        </c:scaling>
        <c:delete val="1"/>
        <c:axPos val="b"/>
        <c:numFmt formatCode="General" sourceLinked="1"/>
        <c:majorTickMark val="out"/>
        <c:minorTickMark val="none"/>
        <c:tickLblPos val="nextTo"/>
        <c:crossAx val="1060497600"/>
        <c:crosses val="autoZero"/>
        <c:auto val="1"/>
        <c:lblAlgn val="ctr"/>
        <c:lblOffset val="100"/>
        <c:noMultiLvlLbl val="0"/>
      </c:cat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Excel.xlsx]Pivot-Analysis!Discount effect on Sales</c:name>
    <c:fmtId val="9"/>
  </c:pivotSource>
  <c:chart>
    <c:autoTitleDeleted val="1"/>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bg1"/>
          </a:solidFill>
          <a:ln>
            <a:noFill/>
          </a:ln>
          <a:effectLst/>
        </c:spPr>
        <c:marker>
          <c:symbol val="none"/>
        </c:marker>
      </c:pivotFmt>
    </c:pivotFmts>
    <c:plotArea>
      <c:layout>
        <c:manualLayout>
          <c:layoutTarget val="inner"/>
          <c:xMode val="edge"/>
          <c:yMode val="edge"/>
          <c:x val="0.18993545786130578"/>
          <c:y val="0.11657565886474125"/>
          <c:w val="0.72764026824729877"/>
          <c:h val="0.75083215055700447"/>
        </c:manualLayout>
      </c:layout>
      <c:barChart>
        <c:barDir val="col"/>
        <c:grouping val="clustered"/>
        <c:varyColors val="0"/>
        <c:ser>
          <c:idx val="0"/>
          <c:order val="0"/>
          <c:tx>
            <c:strRef>
              <c:f>'Pivot-Analysis'!$B$112</c:f>
              <c:strCache>
                <c:ptCount val="1"/>
                <c:pt idx="0">
                  <c:v>Total</c:v>
                </c:pt>
              </c:strCache>
            </c:strRef>
          </c:tx>
          <c:spPr>
            <a:solidFill>
              <a:schemeClr val="bg1"/>
            </a:solidFill>
            <a:ln>
              <a:noFill/>
            </a:ln>
            <a:effectLst/>
          </c:spPr>
          <c:invertIfNegative val="0"/>
          <c:cat>
            <c:strRef>
              <c:f>'Pivot-Analysis'!$A$113:$A$117</c:f>
              <c:strCache>
                <c:ptCount val="4"/>
                <c:pt idx="0">
                  <c:v>Medium</c:v>
                </c:pt>
                <c:pt idx="1">
                  <c:v>High</c:v>
                </c:pt>
                <c:pt idx="2">
                  <c:v>Low</c:v>
                </c:pt>
                <c:pt idx="3">
                  <c:v>None</c:v>
                </c:pt>
              </c:strCache>
            </c:strRef>
          </c:cat>
          <c:val>
            <c:numRef>
              <c:f>'Pivot-Analysis'!$B$113:$B$117</c:f>
              <c:numCache>
                <c:formatCode>General</c:formatCode>
                <c:ptCount val="4"/>
                <c:pt idx="0">
                  <c:v>38780430.840000004</c:v>
                </c:pt>
                <c:pt idx="1">
                  <c:v>37372486.740000002</c:v>
                </c:pt>
                <c:pt idx="2">
                  <c:v>34629778.709999986</c:v>
                </c:pt>
                <c:pt idx="3">
                  <c:v>7943654</c:v>
                </c:pt>
              </c:numCache>
            </c:numRef>
          </c:val>
          <c:extLst>
            <c:ext xmlns:c16="http://schemas.microsoft.com/office/drawing/2014/chart" uri="{C3380CC4-5D6E-409C-BE32-E72D297353CC}">
              <c16:uniqueId val="{00000000-F497-4DD9-974F-B4AF40901A38}"/>
            </c:ext>
          </c:extLst>
        </c:ser>
        <c:dLbls>
          <c:showLegendKey val="0"/>
          <c:showVal val="0"/>
          <c:showCatName val="0"/>
          <c:showSerName val="0"/>
          <c:showPercent val="0"/>
          <c:showBubbleSize val="0"/>
        </c:dLbls>
        <c:gapWidth val="219"/>
        <c:overlap val="-27"/>
        <c:axId val="1807854575"/>
        <c:axId val="1995255263"/>
      </c:barChart>
      <c:catAx>
        <c:axId val="180785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5255263"/>
        <c:crosses val="autoZero"/>
        <c:auto val="1"/>
        <c:lblAlgn val="ctr"/>
        <c:lblOffset val="100"/>
        <c:noMultiLvlLbl val="0"/>
      </c:catAx>
      <c:valAx>
        <c:axId val="199525526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7854575"/>
        <c:crosses val="autoZero"/>
        <c:crossBetween val="between"/>
        <c:dispUnits>
          <c:builtInUnit val="millions"/>
          <c:dispUnitsLbl>
            <c:layout>
              <c:manualLayout>
                <c:xMode val="edge"/>
                <c:yMode val="edge"/>
                <c:x val="2.9090920196963091E-2"/>
                <c:y val="0.30601110451994579"/>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Excel.xlsx]Pivot-Analysis!Sales by Time</c:name>
    <c:fmtId val="11"/>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ln w="28575" cap="rnd">
            <a:solidFill>
              <a:schemeClr val="bg1"/>
            </a:solidFill>
            <a:round/>
          </a:ln>
          <a:effectLst/>
        </c:spPr>
        <c:marker>
          <c:symbol val="circle"/>
          <c:size val="5"/>
          <c:spPr>
            <a:solidFill>
              <a:schemeClr val="bg1"/>
            </a:solidFill>
            <a:ln w="9525">
              <a:noFill/>
            </a:ln>
            <a:effectLst/>
          </c:spPr>
        </c:marker>
      </c:pivotFmt>
      <c:pivotFmt>
        <c:idx val="5"/>
        <c:spPr>
          <a:ln w="28575" cap="rnd">
            <a:solidFill>
              <a:srgbClr val="CC99FF"/>
            </a:solidFill>
            <a:round/>
          </a:ln>
          <a:effectLst/>
        </c:spPr>
        <c:marker>
          <c:symbol val="circle"/>
          <c:size val="5"/>
          <c:spPr>
            <a:solidFill>
              <a:srgbClr val="CC99FF"/>
            </a:solidFill>
            <a:ln w="9525">
              <a:noFill/>
            </a:ln>
            <a:effectLst/>
          </c:spPr>
        </c:marker>
      </c:pivotFmt>
    </c:pivotFmts>
    <c:plotArea>
      <c:layout/>
      <c:lineChart>
        <c:grouping val="standard"/>
        <c:varyColors val="0"/>
        <c:ser>
          <c:idx val="0"/>
          <c:order val="0"/>
          <c:tx>
            <c:strRef>
              <c:f>'Pivot-Analysis'!$B$50</c:f>
              <c:strCache>
                <c:ptCount val="1"/>
                <c:pt idx="0">
                  <c:v>Sum of Sales</c:v>
                </c:pt>
              </c:strCache>
            </c:strRef>
          </c:tx>
          <c:spPr>
            <a:ln w="28575" cap="rnd">
              <a:solidFill>
                <a:schemeClr val="bg1"/>
              </a:solidFill>
              <a:round/>
            </a:ln>
            <a:effectLst/>
          </c:spPr>
          <c:marker>
            <c:symbol val="circle"/>
            <c:size val="5"/>
            <c:spPr>
              <a:solidFill>
                <a:schemeClr val="bg1"/>
              </a:solidFill>
              <a:ln w="9525">
                <a:noFill/>
              </a:ln>
              <a:effectLst/>
            </c:spPr>
          </c:marker>
          <c:cat>
            <c:multiLvlStrRef>
              <c:f>'Pivot-Analysis'!$A$51:$A$69</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'Pivot-Analysis'!$B$51:$B$69</c:f>
              <c:numCache>
                <c:formatCode>General</c:formatCode>
                <c:ptCount val="16"/>
                <c:pt idx="0">
                  <c:v>4484000.03</c:v>
                </c:pt>
                <c:pt idx="1">
                  <c:v>9295611.0999999996</c:v>
                </c:pt>
                <c:pt idx="2">
                  <c:v>7267203.2999999989</c:v>
                </c:pt>
                <c:pt idx="3">
                  <c:v>5368441.08</c:v>
                </c:pt>
                <c:pt idx="4">
                  <c:v>6607761.6899999995</c:v>
                </c:pt>
                <c:pt idx="5">
                  <c:v>7297531.3900000006</c:v>
                </c:pt>
                <c:pt idx="6">
                  <c:v>5586859.8699999992</c:v>
                </c:pt>
                <c:pt idx="7">
                  <c:v>6964775.0800000001</c:v>
                </c:pt>
                <c:pt idx="8">
                  <c:v>6210211.0599999996</c:v>
                </c:pt>
                <c:pt idx="9">
                  <c:v>9518893.8200000003</c:v>
                </c:pt>
                <c:pt idx="10">
                  <c:v>8102920.1900000013</c:v>
                </c:pt>
                <c:pt idx="11">
                  <c:v>5864622.4199999999</c:v>
                </c:pt>
                <c:pt idx="12">
                  <c:v>6398697.2399999993</c:v>
                </c:pt>
                <c:pt idx="13">
                  <c:v>12375819.92</c:v>
                </c:pt>
                <c:pt idx="14">
                  <c:v>5384214.1999999993</c:v>
                </c:pt>
                <c:pt idx="15">
                  <c:v>11998787.899999999</c:v>
                </c:pt>
              </c:numCache>
            </c:numRef>
          </c:val>
          <c:smooth val="0"/>
          <c:extLst>
            <c:ext xmlns:c16="http://schemas.microsoft.com/office/drawing/2014/chart" uri="{C3380CC4-5D6E-409C-BE32-E72D297353CC}">
              <c16:uniqueId val="{00000000-42C4-4162-A0E9-E00320E80230}"/>
            </c:ext>
          </c:extLst>
        </c:ser>
        <c:ser>
          <c:idx val="1"/>
          <c:order val="1"/>
          <c:tx>
            <c:strRef>
              <c:f>'Pivot-Analysis'!$C$50</c:f>
              <c:strCache>
                <c:ptCount val="1"/>
                <c:pt idx="0">
                  <c:v>Sum of COGS</c:v>
                </c:pt>
              </c:strCache>
            </c:strRef>
          </c:tx>
          <c:spPr>
            <a:ln w="28575" cap="rnd">
              <a:solidFill>
                <a:srgbClr val="CC99FF"/>
              </a:solidFill>
              <a:round/>
            </a:ln>
            <a:effectLst/>
          </c:spPr>
          <c:marker>
            <c:symbol val="circle"/>
            <c:size val="5"/>
            <c:spPr>
              <a:solidFill>
                <a:srgbClr val="CC99FF"/>
              </a:solidFill>
              <a:ln w="9525">
                <a:noFill/>
              </a:ln>
              <a:effectLst/>
            </c:spPr>
          </c:marker>
          <c:cat>
            <c:multiLvlStrRef>
              <c:f>'Pivot-Analysis'!$A$51:$A$69</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'Pivot-Analysis'!$C$51:$C$69</c:f>
              <c:numCache>
                <c:formatCode>General</c:formatCode>
                <c:ptCount val="16"/>
                <c:pt idx="0">
                  <c:v>3720397</c:v>
                </c:pt>
                <c:pt idx="1">
                  <c:v>7637816</c:v>
                </c:pt>
                <c:pt idx="2">
                  <c:v>6501701</c:v>
                </c:pt>
                <c:pt idx="3">
                  <c:v>4676877</c:v>
                </c:pt>
                <c:pt idx="4">
                  <c:v>5793733</c:v>
                </c:pt>
                <c:pt idx="5">
                  <c:v>6148984</c:v>
                </c:pt>
                <c:pt idx="6">
                  <c:v>4916993</c:v>
                </c:pt>
                <c:pt idx="7">
                  <c:v>6034790.5</c:v>
                </c:pt>
                <c:pt idx="8">
                  <c:v>5381571</c:v>
                </c:pt>
                <c:pt idx="9">
                  <c:v>8045140</c:v>
                </c:pt>
                <c:pt idx="10">
                  <c:v>7179054.5</c:v>
                </c:pt>
                <c:pt idx="11">
                  <c:v>5073556</c:v>
                </c:pt>
                <c:pt idx="12">
                  <c:v>5375565</c:v>
                </c:pt>
                <c:pt idx="13">
                  <c:v>10593834</c:v>
                </c:pt>
                <c:pt idx="14">
                  <c:v>4779614</c:v>
                </c:pt>
                <c:pt idx="15">
                  <c:v>9973022</c:v>
                </c:pt>
              </c:numCache>
            </c:numRef>
          </c:val>
          <c:smooth val="0"/>
          <c:extLst>
            <c:ext xmlns:c16="http://schemas.microsoft.com/office/drawing/2014/chart" uri="{C3380CC4-5D6E-409C-BE32-E72D297353CC}">
              <c16:uniqueId val="{00000000-3A5F-4915-A273-64031AEB6F90}"/>
            </c:ext>
          </c:extLst>
        </c:ser>
        <c:dLbls>
          <c:showLegendKey val="0"/>
          <c:showVal val="0"/>
          <c:showCatName val="0"/>
          <c:showSerName val="0"/>
          <c:showPercent val="0"/>
          <c:showBubbleSize val="0"/>
        </c:dLbls>
        <c:marker val="1"/>
        <c:smooth val="0"/>
        <c:axId val="695491440"/>
        <c:axId val="1065996192"/>
      </c:lineChart>
      <c:catAx>
        <c:axId val="69549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5996192"/>
        <c:crosses val="autoZero"/>
        <c:auto val="1"/>
        <c:lblAlgn val="ctr"/>
        <c:lblOffset val="100"/>
        <c:noMultiLvlLbl val="0"/>
      </c:catAx>
      <c:valAx>
        <c:axId val="106599619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5491440"/>
        <c:crosses val="autoZero"/>
        <c:crossBetween val="between"/>
        <c:dispUnits>
          <c:builtInUnit val="millions"/>
          <c:dispUnitsLbl>
            <c:layout>
              <c:manualLayout>
                <c:xMode val="edge"/>
                <c:yMode val="edge"/>
                <c:x val="2.84789644012945E-2"/>
                <c:y val="0.25702794989219879"/>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Excel.xlsx]Pivot-Analysis!Sales by Product</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'Pivot-Analysis'!$B$91</c:f>
              <c:strCache>
                <c:ptCount val="1"/>
                <c:pt idx="0">
                  <c:v>Total</c:v>
                </c:pt>
              </c:strCache>
            </c:strRef>
          </c:tx>
          <c:spPr>
            <a:solidFill>
              <a:schemeClr val="accent1"/>
            </a:solidFill>
            <a:ln>
              <a:noFill/>
            </a:ln>
            <a:effectLst/>
          </c:spPr>
          <c:invertIfNegative val="0"/>
          <c:cat>
            <c:strRef>
              <c:f>'Pivot-Analysis'!$A$92:$A$98</c:f>
              <c:strCache>
                <c:ptCount val="6"/>
                <c:pt idx="0">
                  <c:v>Paseo</c:v>
                </c:pt>
                <c:pt idx="1">
                  <c:v>VTT</c:v>
                </c:pt>
                <c:pt idx="2">
                  <c:v>Velo</c:v>
                </c:pt>
                <c:pt idx="3">
                  <c:v>Amarilla</c:v>
                </c:pt>
                <c:pt idx="4">
                  <c:v>Montana</c:v>
                </c:pt>
                <c:pt idx="5">
                  <c:v>Carretera</c:v>
                </c:pt>
              </c:strCache>
            </c:strRef>
          </c:cat>
          <c:val>
            <c:numRef>
              <c:f>'Pivot-Analysis'!$B$92:$B$98</c:f>
              <c:numCache>
                <c:formatCode>General</c:formatCode>
                <c:ptCount val="6"/>
                <c:pt idx="0">
                  <c:v>33011143.960000001</c:v>
                </c:pt>
                <c:pt idx="1">
                  <c:v>20511921.020000003</c:v>
                </c:pt>
                <c:pt idx="2">
                  <c:v>18250059.469999999</c:v>
                </c:pt>
                <c:pt idx="3">
                  <c:v>17747116.069999997</c:v>
                </c:pt>
                <c:pt idx="4">
                  <c:v>15390801.880000003</c:v>
                </c:pt>
                <c:pt idx="5">
                  <c:v>13815307.889999999</c:v>
                </c:pt>
              </c:numCache>
            </c:numRef>
          </c:val>
          <c:extLst>
            <c:ext xmlns:c16="http://schemas.microsoft.com/office/drawing/2014/chart" uri="{C3380CC4-5D6E-409C-BE32-E72D297353CC}">
              <c16:uniqueId val="{00000000-E5E1-418B-8290-CCBE89843F40}"/>
            </c:ext>
          </c:extLst>
        </c:ser>
        <c:dLbls>
          <c:showLegendKey val="0"/>
          <c:showVal val="0"/>
          <c:showCatName val="0"/>
          <c:showSerName val="0"/>
          <c:showPercent val="0"/>
          <c:showBubbleSize val="0"/>
        </c:dLbls>
        <c:gapWidth val="219"/>
        <c:overlap val="-27"/>
        <c:axId val="1053032752"/>
        <c:axId val="1121990448"/>
      </c:barChart>
      <c:catAx>
        <c:axId val="105303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990448"/>
        <c:crosses val="autoZero"/>
        <c:auto val="1"/>
        <c:lblAlgn val="ctr"/>
        <c:lblOffset val="100"/>
        <c:noMultiLvlLbl val="0"/>
      </c:catAx>
      <c:valAx>
        <c:axId val="112199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03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Excel.xlsx]Pivot-Analysis!ProductProfit</c:name>
    <c:fmtId val="1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pivotFmt>
      <c:pivotFmt>
        <c:idx val="3"/>
        <c:spPr>
          <a:solidFill>
            <a:schemeClr val="bg1"/>
          </a:solidFill>
          <a:ln>
            <a:noFill/>
          </a:ln>
          <a:effectLst/>
        </c:spPr>
        <c:marker>
          <c:symbol val="none"/>
        </c:marker>
      </c:pivotFmt>
    </c:pivotFmts>
    <c:plotArea>
      <c:layout/>
      <c:barChart>
        <c:barDir val="bar"/>
        <c:grouping val="clustered"/>
        <c:varyColors val="0"/>
        <c:ser>
          <c:idx val="0"/>
          <c:order val="0"/>
          <c:tx>
            <c:strRef>
              <c:f>'Pivot-Analysis'!$B$286</c:f>
              <c:strCache>
                <c:ptCount val="1"/>
                <c:pt idx="0">
                  <c:v>Total</c:v>
                </c:pt>
              </c:strCache>
            </c:strRef>
          </c:tx>
          <c:spPr>
            <a:solidFill>
              <a:schemeClr val="bg1"/>
            </a:solidFill>
            <a:ln>
              <a:noFill/>
            </a:ln>
            <a:effectLst/>
          </c:spPr>
          <c:invertIfNegative val="0"/>
          <c:cat>
            <c:strRef>
              <c:f>'Pivot-Analysis'!$A$287:$A$293</c:f>
              <c:strCache>
                <c:ptCount val="6"/>
                <c:pt idx="0">
                  <c:v>Carretera</c:v>
                </c:pt>
                <c:pt idx="1">
                  <c:v>Montana</c:v>
                </c:pt>
                <c:pt idx="2">
                  <c:v>Velo</c:v>
                </c:pt>
                <c:pt idx="3">
                  <c:v>Amarilla</c:v>
                </c:pt>
                <c:pt idx="4">
                  <c:v>VTT</c:v>
                </c:pt>
                <c:pt idx="5">
                  <c:v>Paseo</c:v>
                </c:pt>
              </c:strCache>
            </c:strRef>
          </c:cat>
          <c:val>
            <c:numRef>
              <c:f>'Pivot-Analysis'!$B$287:$B$293</c:f>
              <c:numCache>
                <c:formatCode>General</c:formatCode>
                <c:ptCount val="6"/>
                <c:pt idx="0">
                  <c:v>1826804.8900000001</c:v>
                </c:pt>
                <c:pt idx="1">
                  <c:v>2114754.88</c:v>
                </c:pt>
                <c:pt idx="2">
                  <c:v>2305992.4699999997</c:v>
                </c:pt>
                <c:pt idx="3">
                  <c:v>2814104.0700000008</c:v>
                </c:pt>
                <c:pt idx="4">
                  <c:v>3034608.0200000005</c:v>
                </c:pt>
                <c:pt idx="5">
                  <c:v>4797437.9600000009</c:v>
                </c:pt>
              </c:numCache>
            </c:numRef>
          </c:val>
          <c:extLst>
            <c:ext xmlns:c16="http://schemas.microsoft.com/office/drawing/2014/chart" uri="{C3380CC4-5D6E-409C-BE32-E72D297353CC}">
              <c16:uniqueId val="{00000000-F2D3-4EC8-87F0-19323D88A0E8}"/>
            </c:ext>
          </c:extLst>
        </c:ser>
        <c:dLbls>
          <c:showLegendKey val="0"/>
          <c:showVal val="0"/>
          <c:showCatName val="0"/>
          <c:showSerName val="0"/>
          <c:showPercent val="0"/>
          <c:showBubbleSize val="0"/>
        </c:dLbls>
        <c:gapWidth val="219"/>
        <c:axId val="198917424"/>
        <c:axId val="197266384"/>
      </c:barChart>
      <c:catAx>
        <c:axId val="19891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266384"/>
        <c:crosses val="autoZero"/>
        <c:auto val="1"/>
        <c:lblAlgn val="ctr"/>
        <c:lblOffset val="100"/>
        <c:noMultiLvlLbl val="0"/>
      </c:catAx>
      <c:valAx>
        <c:axId val="197266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917424"/>
        <c:crosses val="autoZero"/>
        <c:crossBetween val="between"/>
        <c:dispUnits>
          <c:builtInUnit val="millions"/>
          <c:dispUnitsLbl>
            <c:layout>
              <c:manualLayout>
                <c:xMode val="edge"/>
                <c:yMode val="edge"/>
                <c:x val="0.32893101257704127"/>
                <c:y val="0.79988719495169491"/>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Excel.xlsx]Pivot-Analysis!CountryProfit</c:name>
    <c:fmtId val="1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pivotFmt>
    </c:pivotFmts>
    <c:plotArea>
      <c:layout/>
      <c:barChart>
        <c:barDir val="col"/>
        <c:grouping val="clustered"/>
        <c:varyColors val="0"/>
        <c:ser>
          <c:idx val="0"/>
          <c:order val="0"/>
          <c:tx>
            <c:strRef>
              <c:f>'Pivot-Analysis'!$B$300</c:f>
              <c:strCache>
                <c:ptCount val="1"/>
                <c:pt idx="0">
                  <c:v>Total</c:v>
                </c:pt>
              </c:strCache>
            </c:strRef>
          </c:tx>
          <c:spPr>
            <a:solidFill>
              <a:schemeClr val="bg1"/>
            </a:solidFill>
            <a:ln>
              <a:noFill/>
            </a:ln>
            <a:effectLst/>
          </c:spPr>
          <c:invertIfNegative val="0"/>
          <c:cat>
            <c:strRef>
              <c:f>'Pivot-Analysis'!$A$301:$A$306</c:f>
              <c:strCache>
                <c:ptCount val="5"/>
                <c:pt idx="0">
                  <c:v>France</c:v>
                </c:pt>
                <c:pt idx="1">
                  <c:v>Germany</c:v>
                </c:pt>
                <c:pt idx="2">
                  <c:v>Canada</c:v>
                </c:pt>
                <c:pt idx="3">
                  <c:v>United States of America</c:v>
                </c:pt>
                <c:pt idx="4">
                  <c:v>Mexico</c:v>
                </c:pt>
              </c:strCache>
            </c:strRef>
          </c:cat>
          <c:val>
            <c:numRef>
              <c:f>'Pivot-Analysis'!$B$301:$B$306</c:f>
              <c:numCache>
                <c:formatCode>General</c:formatCode>
                <c:ptCount val="5"/>
                <c:pt idx="0">
                  <c:v>3781020.79</c:v>
                </c:pt>
                <c:pt idx="1">
                  <c:v>3680388.8200000012</c:v>
                </c:pt>
                <c:pt idx="2">
                  <c:v>3529228.89</c:v>
                </c:pt>
                <c:pt idx="3">
                  <c:v>2995540.6799999997</c:v>
                </c:pt>
                <c:pt idx="4">
                  <c:v>2907523.1100000003</c:v>
                </c:pt>
              </c:numCache>
            </c:numRef>
          </c:val>
          <c:extLst>
            <c:ext xmlns:c16="http://schemas.microsoft.com/office/drawing/2014/chart" uri="{C3380CC4-5D6E-409C-BE32-E72D297353CC}">
              <c16:uniqueId val="{00000000-0E6F-4812-9B8D-B7317BC8085E}"/>
            </c:ext>
          </c:extLst>
        </c:ser>
        <c:dLbls>
          <c:showLegendKey val="0"/>
          <c:showVal val="0"/>
          <c:showCatName val="0"/>
          <c:showSerName val="0"/>
          <c:showPercent val="0"/>
          <c:showBubbleSize val="0"/>
        </c:dLbls>
        <c:gapWidth val="219"/>
        <c:overlap val="-27"/>
        <c:axId val="203962528"/>
        <c:axId val="266440752"/>
      </c:barChart>
      <c:catAx>
        <c:axId val="20396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6440752"/>
        <c:crosses val="autoZero"/>
        <c:auto val="1"/>
        <c:lblAlgn val="ctr"/>
        <c:lblOffset val="100"/>
        <c:noMultiLvlLbl val="0"/>
      </c:catAx>
      <c:valAx>
        <c:axId val="26644075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96252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Excel.xlsx]Pivot-Analysis!SegmentProfit</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pivotFmt>
    </c:pivotFmts>
    <c:plotArea>
      <c:layout>
        <c:manualLayout>
          <c:layoutTarget val="inner"/>
          <c:xMode val="edge"/>
          <c:yMode val="edge"/>
          <c:x val="0.19895013123359581"/>
          <c:y val="5.2177232304867142E-2"/>
          <c:w val="0.75841420985167551"/>
          <c:h val="0.49610577815861628"/>
        </c:manualLayout>
      </c:layout>
      <c:barChart>
        <c:barDir val="col"/>
        <c:grouping val="clustered"/>
        <c:varyColors val="0"/>
        <c:ser>
          <c:idx val="0"/>
          <c:order val="0"/>
          <c:tx>
            <c:strRef>
              <c:f>'Pivot-Analysis'!$B$436</c:f>
              <c:strCache>
                <c:ptCount val="1"/>
                <c:pt idx="0">
                  <c:v>Total</c:v>
                </c:pt>
              </c:strCache>
            </c:strRef>
          </c:tx>
          <c:spPr>
            <a:solidFill>
              <a:schemeClr val="bg1"/>
            </a:solidFill>
            <a:ln>
              <a:noFill/>
            </a:ln>
            <a:effectLst/>
          </c:spPr>
          <c:invertIfNegative val="0"/>
          <c:cat>
            <c:strRef>
              <c:f>'Pivot-Analysis'!$A$437:$A$442</c:f>
              <c:strCache>
                <c:ptCount val="5"/>
                <c:pt idx="0">
                  <c:v>Government</c:v>
                </c:pt>
                <c:pt idx="1">
                  <c:v>Small Business</c:v>
                </c:pt>
                <c:pt idx="2">
                  <c:v>Channel Partners</c:v>
                </c:pt>
                <c:pt idx="3">
                  <c:v>Midmarket</c:v>
                </c:pt>
                <c:pt idx="4">
                  <c:v>Enterprise</c:v>
                </c:pt>
              </c:strCache>
            </c:strRef>
          </c:cat>
          <c:val>
            <c:numRef>
              <c:f>'Pivot-Analysis'!$B$437:$B$442</c:f>
              <c:numCache>
                <c:formatCode>General</c:formatCode>
                <c:ptCount val="5"/>
                <c:pt idx="0">
                  <c:v>11388173.17999999</c:v>
                </c:pt>
                <c:pt idx="1">
                  <c:v>4143168.5</c:v>
                </c:pt>
                <c:pt idx="2">
                  <c:v>1316803.1399999997</c:v>
                </c:pt>
                <c:pt idx="3">
                  <c:v>660103.08999999985</c:v>
                </c:pt>
                <c:pt idx="4">
                  <c:v>-614545.62</c:v>
                </c:pt>
              </c:numCache>
            </c:numRef>
          </c:val>
          <c:extLst>
            <c:ext xmlns:c16="http://schemas.microsoft.com/office/drawing/2014/chart" uri="{C3380CC4-5D6E-409C-BE32-E72D297353CC}">
              <c16:uniqueId val="{00000000-6B66-47ED-A596-74D9515EE4BB}"/>
            </c:ext>
          </c:extLst>
        </c:ser>
        <c:dLbls>
          <c:showLegendKey val="0"/>
          <c:showVal val="0"/>
          <c:showCatName val="0"/>
          <c:showSerName val="0"/>
          <c:showPercent val="0"/>
          <c:showBubbleSize val="0"/>
        </c:dLbls>
        <c:gapWidth val="182"/>
        <c:axId val="2084845696"/>
        <c:axId val="1710740448"/>
      </c:barChart>
      <c:catAx>
        <c:axId val="208484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10740448"/>
        <c:crosses val="autoZero"/>
        <c:auto val="1"/>
        <c:lblAlgn val="ctr"/>
        <c:lblOffset val="100"/>
        <c:noMultiLvlLbl val="0"/>
      </c:catAx>
      <c:valAx>
        <c:axId val="171074044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4845696"/>
        <c:crosses val="autoZero"/>
        <c:crossBetween val="between"/>
        <c:dispUnits>
          <c:builtInUnit val="millions"/>
          <c:dispUnitsLbl>
            <c:layout>
              <c:manualLayout>
                <c:xMode val="edge"/>
                <c:yMode val="edge"/>
                <c:x val="6.649209546481108E-2"/>
                <c:y val="0.18319834739832969"/>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Excel.xlsx]Pivot-Analysis!ProfitDB</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pivotFmt>
    </c:pivotFmts>
    <c:plotArea>
      <c:layout/>
      <c:barChart>
        <c:barDir val="col"/>
        <c:grouping val="clustered"/>
        <c:varyColors val="0"/>
        <c:ser>
          <c:idx val="0"/>
          <c:order val="0"/>
          <c:tx>
            <c:strRef>
              <c:f>'Pivot-Analysis'!$B$455</c:f>
              <c:strCache>
                <c:ptCount val="1"/>
                <c:pt idx="0">
                  <c:v>Total</c:v>
                </c:pt>
              </c:strCache>
            </c:strRef>
          </c:tx>
          <c:spPr>
            <a:solidFill>
              <a:schemeClr val="bg1"/>
            </a:solidFill>
            <a:ln>
              <a:noFill/>
            </a:ln>
            <a:effectLst/>
          </c:spPr>
          <c:invertIfNegative val="0"/>
          <c:cat>
            <c:strRef>
              <c:f>'Pivot-Analysis'!$A$456:$A$460</c:f>
              <c:strCache>
                <c:ptCount val="4"/>
                <c:pt idx="0">
                  <c:v>Low</c:v>
                </c:pt>
                <c:pt idx="1">
                  <c:v>Medium</c:v>
                </c:pt>
                <c:pt idx="2">
                  <c:v>High</c:v>
                </c:pt>
                <c:pt idx="3">
                  <c:v>None</c:v>
                </c:pt>
              </c:strCache>
            </c:strRef>
          </c:cat>
          <c:val>
            <c:numRef>
              <c:f>'Pivot-Analysis'!$B$456:$B$460</c:f>
              <c:numCache>
                <c:formatCode>General</c:formatCode>
                <c:ptCount val="4"/>
                <c:pt idx="0">
                  <c:v>6188857.71</c:v>
                </c:pt>
                <c:pt idx="1">
                  <c:v>5579522.8399999999</c:v>
                </c:pt>
                <c:pt idx="2">
                  <c:v>3388866.7400000021</c:v>
                </c:pt>
                <c:pt idx="3">
                  <c:v>1736455</c:v>
                </c:pt>
              </c:numCache>
            </c:numRef>
          </c:val>
          <c:extLst>
            <c:ext xmlns:c16="http://schemas.microsoft.com/office/drawing/2014/chart" uri="{C3380CC4-5D6E-409C-BE32-E72D297353CC}">
              <c16:uniqueId val="{00000000-0958-4DCC-998D-5A809E408956}"/>
            </c:ext>
          </c:extLst>
        </c:ser>
        <c:dLbls>
          <c:showLegendKey val="0"/>
          <c:showVal val="0"/>
          <c:showCatName val="0"/>
          <c:showSerName val="0"/>
          <c:showPercent val="0"/>
          <c:showBubbleSize val="0"/>
        </c:dLbls>
        <c:gapWidth val="219"/>
        <c:overlap val="-27"/>
        <c:axId val="2084838896"/>
        <c:axId val="1710750848"/>
      </c:barChart>
      <c:catAx>
        <c:axId val="208483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10750848"/>
        <c:crosses val="autoZero"/>
        <c:auto val="1"/>
        <c:lblAlgn val="ctr"/>
        <c:lblOffset val="100"/>
        <c:noMultiLvlLbl val="0"/>
      </c:catAx>
      <c:valAx>
        <c:axId val="171075084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4838896"/>
        <c:crosses val="autoZero"/>
        <c:crossBetween val="between"/>
        <c:dispUnits>
          <c:builtInUnit val="millions"/>
          <c:dispUnitsLbl>
            <c:layout>
              <c:manualLayout>
                <c:xMode val="edge"/>
                <c:yMode val="edge"/>
                <c:x val="3.8787878787878788E-2"/>
                <c:y val="0.32156862745098042"/>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Excel.xlsx]Pivot-Analysis!TimeProfitProfitRaio</c:name>
    <c:fmtId val="1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bg1"/>
            </a:solidFill>
            <a:round/>
          </a:ln>
          <a:effectLst/>
        </c:spPr>
        <c:marker>
          <c:symbol val="circle"/>
          <c:size val="5"/>
          <c:spPr>
            <a:solidFill>
              <a:schemeClr val="bg1"/>
            </a:solidFill>
            <a:ln w="9525">
              <a:noFill/>
            </a:ln>
            <a:effectLst/>
          </c:spPr>
        </c:marker>
      </c:pivotFmt>
      <c:pivotFmt>
        <c:idx val="5"/>
        <c:spPr>
          <a:ln w="28575" cap="rnd">
            <a:solidFill>
              <a:srgbClr val="CC99FF"/>
            </a:solidFill>
            <a:round/>
          </a:ln>
          <a:effectLst/>
        </c:spPr>
        <c:marker>
          <c:symbol val="circle"/>
          <c:size val="5"/>
          <c:spPr>
            <a:solidFill>
              <a:srgbClr val="CC99FF"/>
            </a:solidFill>
            <a:ln w="9525">
              <a:noFill/>
            </a:ln>
            <a:effectLst/>
          </c:spPr>
        </c:marker>
      </c:pivotFmt>
    </c:pivotFmts>
    <c:plotArea>
      <c:layout/>
      <c:lineChart>
        <c:grouping val="stacked"/>
        <c:varyColors val="0"/>
        <c:ser>
          <c:idx val="0"/>
          <c:order val="0"/>
          <c:tx>
            <c:strRef>
              <c:f>'Pivot-Analysis'!$B$468</c:f>
              <c:strCache>
                <c:ptCount val="1"/>
                <c:pt idx="0">
                  <c:v>Sum of Profit</c:v>
                </c:pt>
              </c:strCache>
            </c:strRef>
          </c:tx>
          <c:spPr>
            <a:ln w="28575" cap="rnd">
              <a:solidFill>
                <a:schemeClr val="bg1"/>
              </a:solidFill>
              <a:round/>
            </a:ln>
            <a:effectLst/>
          </c:spPr>
          <c:marker>
            <c:symbol val="circle"/>
            <c:size val="5"/>
            <c:spPr>
              <a:solidFill>
                <a:schemeClr val="bg1"/>
              </a:solidFill>
              <a:ln w="9525">
                <a:noFill/>
              </a:ln>
              <a:effectLst/>
            </c:spPr>
          </c:marker>
          <c:cat>
            <c:multiLvlStrRef>
              <c:f>'Pivot-Analysis'!$A$469:$A$487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'Pivot-Analysis'!$B$469:$B$487</c:f>
              <c:numCache>
                <c:formatCode>General</c:formatCode>
                <c:ptCount val="16"/>
                <c:pt idx="0">
                  <c:v>763603.03</c:v>
                </c:pt>
                <c:pt idx="1">
                  <c:v>1657795.0999999999</c:v>
                </c:pt>
                <c:pt idx="2">
                  <c:v>765502.3</c:v>
                </c:pt>
                <c:pt idx="3">
                  <c:v>691564.08000000007</c:v>
                </c:pt>
                <c:pt idx="4">
                  <c:v>814028.69000000006</c:v>
                </c:pt>
                <c:pt idx="5">
                  <c:v>1148547.3899999999</c:v>
                </c:pt>
                <c:pt idx="6">
                  <c:v>669866.87</c:v>
                </c:pt>
                <c:pt idx="7">
                  <c:v>929984.58</c:v>
                </c:pt>
                <c:pt idx="8">
                  <c:v>828640.06</c:v>
                </c:pt>
                <c:pt idx="9">
                  <c:v>1473753.8199999998</c:v>
                </c:pt>
                <c:pt idx="10">
                  <c:v>923865.68999999983</c:v>
                </c:pt>
                <c:pt idx="11">
                  <c:v>791066.42</c:v>
                </c:pt>
                <c:pt idx="12">
                  <c:v>1023132.24</c:v>
                </c:pt>
                <c:pt idx="13">
                  <c:v>1781985.9200000004</c:v>
                </c:pt>
                <c:pt idx="14">
                  <c:v>604600.19999999995</c:v>
                </c:pt>
                <c:pt idx="15">
                  <c:v>2025765.9000000001</c:v>
                </c:pt>
              </c:numCache>
            </c:numRef>
          </c:val>
          <c:smooth val="0"/>
          <c:extLst>
            <c:ext xmlns:c16="http://schemas.microsoft.com/office/drawing/2014/chart" uri="{C3380CC4-5D6E-409C-BE32-E72D297353CC}">
              <c16:uniqueId val="{00000000-4CE1-4687-8C72-CB4635CDEBBD}"/>
            </c:ext>
          </c:extLst>
        </c:ser>
        <c:dLbls>
          <c:showLegendKey val="0"/>
          <c:showVal val="0"/>
          <c:showCatName val="0"/>
          <c:showSerName val="0"/>
          <c:showPercent val="0"/>
          <c:showBubbleSize val="0"/>
        </c:dLbls>
        <c:marker val="1"/>
        <c:smooth val="0"/>
        <c:axId val="2066189680"/>
        <c:axId val="2074025936"/>
      </c:lineChart>
      <c:lineChart>
        <c:grouping val="stacked"/>
        <c:varyColors val="0"/>
        <c:ser>
          <c:idx val="1"/>
          <c:order val="1"/>
          <c:tx>
            <c:strRef>
              <c:f>'Pivot-Analysis'!$C$468</c:f>
              <c:strCache>
                <c:ptCount val="1"/>
                <c:pt idx="0">
                  <c:v>Average of Profit Ratio</c:v>
                </c:pt>
              </c:strCache>
            </c:strRef>
          </c:tx>
          <c:spPr>
            <a:ln w="28575" cap="rnd">
              <a:solidFill>
                <a:srgbClr val="CC99FF"/>
              </a:solidFill>
              <a:round/>
            </a:ln>
            <a:effectLst/>
          </c:spPr>
          <c:marker>
            <c:symbol val="circle"/>
            <c:size val="5"/>
            <c:spPr>
              <a:solidFill>
                <a:srgbClr val="CC99FF"/>
              </a:solidFill>
              <a:ln w="9525">
                <a:noFill/>
              </a:ln>
              <a:effectLst/>
            </c:spPr>
          </c:marker>
          <c:cat>
            <c:multiLvlStrRef>
              <c:f>'Pivot-Analysis'!$A$469:$A$487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'Pivot-Analysis'!$C$469:$C$487</c:f>
              <c:numCache>
                <c:formatCode>0%</c:formatCode>
                <c:ptCount val="16"/>
                <c:pt idx="0">
                  <c:v>0.65189358974358946</c:v>
                </c:pt>
                <c:pt idx="1">
                  <c:v>0.65565970695970699</c:v>
                </c:pt>
                <c:pt idx="2">
                  <c:v>0.64434816849816856</c:v>
                </c:pt>
                <c:pt idx="3">
                  <c:v>0.65075476190476178</c:v>
                </c:pt>
                <c:pt idx="4">
                  <c:v>0.64542438240998068</c:v>
                </c:pt>
                <c:pt idx="5">
                  <c:v>0.66613937728937711</c:v>
                </c:pt>
                <c:pt idx="6">
                  <c:v>0.64331190476190447</c:v>
                </c:pt>
                <c:pt idx="7">
                  <c:v>0.66921850480884548</c:v>
                </c:pt>
                <c:pt idx="8">
                  <c:v>0.6293384615384614</c:v>
                </c:pt>
                <c:pt idx="9">
                  <c:v>0.68883296703296726</c:v>
                </c:pt>
                <c:pt idx="10">
                  <c:v>0.63799396927049357</c:v>
                </c:pt>
                <c:pt idx="11">
                  <c:v>0.65749029304029294</c:v>
                </c:pt>
                <c:pt idx="12">
                  <c:v>0.67919010989010964</c:v>
                </c:pt>
                <c:pt idx="13">
                  <c:v>0.61800036630036637</c:v>
                </c:pt>
                <c:pt idx="14">
                  <c:v>0.64712912087912089</c:v>
                </c:pt>
                <c:pt idx="15">
                  <c:v>0.65912655677655696</c:v>
                </c:pt>
              </c:numCache>
            </c:numRef>
          </c:val>
          <c:smooth val="0"/>
          <c:extLst>
            <c:ext xmlns:c16="http://schemas.microsoft.com/office/drawing/2014/chart" uri="{C3380CC4-5D6E-409C-BE32-E72D297353CC}">
              <c16:uniqueId val="{00000001-4CE1-4687-8C72-CB4635CDEBBD}"/>
            </c:ext>
          </c:extLst>
        </c:ser>
        <c:dLbls>
          <c:showLegendKey val="0"/>
          <c:showVal val="0"/>
          <c:showCatName val="0"/>
          <c:showSerName val="0"/>
          <c:showPercent val="0"/>
          <c:showBubbleSize val="0"/>
        </c:dLbls>
        <c:marker val="1"/>
        <c:smooth val="0"/>
        <c:axId val="2084809696"/>
        <c:axId val="1710750016"/>
      </c:lineChart>
      <c:catAx>
        <c:axId val="206618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4025936"/>
        <c:crosses val="autoZero"/>
        <c:auto val="1"/>
        <c:lblAlgn val="ctr"/>
        <c:lblOffset val="100"/>
        <c:noMultiLvlLbl val="0"/>
      </c:catAx>
      <c:valAx>
        <c:axId val="207402593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618968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valAx>
        <c:axId val="17107500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4809696"/>
        <c:crosses val="max"/>
        <c:crossBetween val="between"/>
      </c:valAx>
      <c:catAx>
        <c:axId val="2084809696"/>
        <c:scaling>
          <c:orientation val="minMax"/>
        </c:scaling>
        <c:delete val="1"/>
        <c:axPos val="b"/>
        <c:numFmt formatCode="General" sourceLinked="1"/>
        <c:majorTickMark val="out"/>
        <c:minorTickMark val="none"/>
        <c:tickLblPos val="nextTo"/>
        <c:crossAx val="17107500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Excel.xlsx]Pivot-Analysis!MarketProfit</c:name>
    <c:fmtId val="12"/>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0833333333333336"/>
              <c:y val="-0.111111111111111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6.1111111111111109E-2"/>
              <c:y val="-0.1157407407407407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6.1111111111111109E-2"/>
              <c:y val="-0.1157407407407407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0833333333333336"/>
              <c:y val="-0.111111111111111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bg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noFill/>
          <a:ln w="19050">
            <a:solidFill>
              <a:schemeClr val="bg1"/>
            </a:solidFill>
          </a:ln>
          <a:effectLst/>
        </c:spPr>
        <c:dLbl>
          <c:idx val="0"/>
          <c:layout>
            <c:manualLayout>
              <c:x val="9.0096672698521382E-2"/>
              <c:y val="9.1844028478476114E-2"/>
            </c:manualLayout>
          </c:layout>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bg1"/>
          </a:solidFill>
          <a:ln w="19050">
            <a:solidFill>
              <a:schemeClr val="bg1"/>
            </a:solidFill>
          </a:ln>
          <a:effectLst/>
        </c:spPr>
        <c:dLbl>
          <c:idx val="0"/>
          <c:layout>
            <c:manualLayout>
              <c:x val="-0.35526776544236316"/>
              <c:y val="-9.2610369811557985E-2"/>
            </c:manualLayout>
          </c:layout>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332935906670971"/>
                  <c:h val="0.33290546228891194"/>
                </c:manualLayout>
              </c15:layout>
            </c:ext>
          </c:extLst>
        </c:dLbl>
      </c:pivotFmt>
    </c:pivotFmts>
    <c:plotArea>
      <c:layout/>
      <c:doughnutChart>
        <c:varyColors val="1"/>
        <c:ser>
          <c:idx val="0"/>
          <c:order val="0"/>
          <c:tx>
            <c:strRef>
              <c:f>'Pivot-Analysis'!$B$496</c:f>
              <c:strCache>
                <c:ptCount val="1"/>
                <c:pt idx="0">
                  <c:v>Total</c:v>
                </c:pt>
              </c:strCache>
            </c:strRef>
          </c:tx>
          <c:spPr>
            <a:ln>
              <a:solidFill>
                <a:schemeClr val="bg1"/>
              </a:solidFill>
            </a:ln>
          </c:spPr>
          <c:explosion val="1"/>
          <c:dPt>
            <c:idx val="0"/>
            <c:bubble3D val="0"/>
            <c:spPr>
              <a:noFill/>
              <a:ln w="19050">
                <a:solidFill>
                  <a:schemeClr val="bg1"/>
                </a:solidFill>
              </a:ln>
              <a:effectLst/>
            </c:spPr>
            <c:extLst>
              <c:ext xmlns:c16="http://schemas.microsoft.com/office/drawing/2014/chart" uri="{C3380CC4-5D6E-409C-BE32-E72D297353CC}">
                <c16:uniqueId val="{00000001-4517-48FD-8EF7-A10A930FAE9D}"/>
              </c:ext>
            </c:extLst>
          </c:dPt>
          <c:dPt>
            <c:idx val="1"/>
            <c:bubble3D val="0"/>
            <c:spPr>
              <a:solidFill>
                <a:schemeClr val="bg1"/>
              </a:solidFill>
              <a:ln w="19050">
                <a:solidFill>
                  <a:schemeClr val="bg1"/>
                </a:solidFill>
              </a:ln>
              <a:effectLst/>
            </c:spPr>
            <c:extLst>
              <c:ext xmlns:c16="http://schemas.microsoft.com/office/drawing/2014/chart" uri="{C3380CC4-5D6E-409C-BE32-E72D297353CC}">
                <c16:uniqueId val="{00000003-4517-48FD-8EF7-A10A930FAE9D}"/>
              </c:ext>
            </c:extLst>
          </c:dPt>
          <c:dLbls>
            <c:dLbl>
              <c:idx val="0"/>
              <c:layout>
                <c:manualLayout>
                  <c:x val="9.0096672698521382E-2"/>
                  <c:y val="9.1844028478476114E-2"/>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517-48FD-8EF7-A10A930FAE9D}"/>
                </c:ext>
              </c:extLst>
            </c:dLbl>
            <c:dLbl>
              <c:idx val="1"/>
              <c:layout>
                <c:manualLayout>
                  <c:x val="-0.35526776544236316"/>
                  <c:y val="-9.2610369811557985E-2"/>
                </c:manualLayout>
              </c:layout>
              <c:showLegendKey val="1"/>
              <c:showVal val="0"/>
              <c:showCatName val="1"/>
              <c:showSerName val="0"/>
              <c:showPercent val="1"/>
              <c:showBubbleSize val="0"/>
              <c:extLst>
                <c:ext xmlns:c15="http://schemas.microsoft.com/office/drawing/2012/chart" uri="{CE6537A1-D6FC-4f65-9D91-7224C49458BB}">
                  <c15:layout>
                    <c:manualLayout>
                      <c:w val="0.17332935906670971"/>
                      <c:h val="0.33290546228891194"/>
                    </c:manualLayout>
                  </c15:layout>
                </c:ext>
                <c:ext xmlns:c16="http://schemas.microsoft.com/office/drawing/2014/chart" uri="{C3380CC4-5D6E-409C-BE32-E72D297353CC}">
                  <c16:uniqueId val="{00000003-4517-48FD-8EF7-A10A930FAE9D}"/>
                </c:ext>
              </c:extLst>
            </c:dLbl>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'Pivot-Analysis'!$A$497:$A$499</c:f>
              <c:strCache>
                <c:ptCount val="2"/>
                <c:pt idx="0">
                  <c:v>Europe</c:v>
                </c:pt>
                <c:pt idx="1">
                  <c:v>North America</c:v>
                </c:pt>
              </c:strCache>
            </c:strRef>
          </c:cat>
          <c:val>
            <c:numRef>
              <c:f>'Pivot-Analysis'!$B$497:$B$499</c:f>
              <c:numCache>
                <c:formatCode>General</c:formatCode>
                <c:ptCount val="2"/>
                <c:pt idx="0">
                  <c:v>7461409.6099999994</c:v>
                </c:pt>
                <c:pt idx="1">
                  <c:v>9432292.6800000016</c:v>
                </c:pt>
              </c:numCache>
            </c:numRef>
          </c:val>
          <c:extLst>
            <c:ext xmlns:c16="http://schemas.microsoft.com/office/drawing/2014/chart" uri="{C3380CC4-5D6E-409C-BE32-E72D297353CC}">
              <c16:uniqueId val="{00000004-4517-48FD-8EF7-A10A930FAE9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Excel.xlsx]Pivot-Analysis!Sales by Product</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barChart>
        <c:barDir val="col"/>
        <c:grouping val="clustered"/>
        <c:varyColors val="0"/>
        <c:ser>
          <c:idx val="0"/>
          <c:order val="0"/>
          <c:tx>
            <c:strRef>
              <c:f>'Pivot-Analysis'!$B$91</c:f>
              <c:strCache>
                <c:ptCount val="1"/>
                <c:pt idx="0">
                  <c:v>Total</c:v>
                </c:pt>
              </c:strCache>
            </c:strRef>
          </c:tx>
          <c:spPr>
            <a:solidFill>
              <a:schemeClr val="accent1"/>
            </a:solidFill>
            <a:ln>
              <a:noFill/>
            </a:ln>
            <a:effectLst/>
          </c:spPr>
          <c:invertIfNegative val="0"/>
          <c:cat>
            <c:strRef>
              <c:f>'Pivot-Analysis'!$A$92:$A$98</c:f>
              <c:strCache>
                <c:ptCount val="6"/>
                <c:pt idx="0">
                  <c:v>Paseo</c:v>
                </c:pt>
                <c:pt idx="1">
                  <c:v>VTT</c:v>
                </c:pt>
                <c:pt idx="2">
                  <c:v>Velo</c:v>
                </c:pt>
                <c:pt idx="3">
                  <c:v>Amarilla</c:v>
                </c:pt>
                <c:pt idx="4">
                  <c:v>Montana</c:v>
                </c:pt>
                <c:pt idx="5">
                  <c:v>Carretera</c:v>
                </c:pt>
              </c:strCache>
            </c:strRef>
          </c:cat>
          <c:val>
            <c:numRef>
              <c:f>'Pivot-Analysis'!$B$92:$B$98</c:f>
              <c:numCache>
                <c:formatCode>General</c:formatCode>
                <c:ptCount val="6"/>
                <c:pt idx="0">
                  <c:v>33011143.960000001</c:v>
                </c:pt>
                <c:pt idx="1">
                  <c:v>20511921.020000003</c:v>
                </c:pt>
                <c:pt idx="2">
                  <c:v>18250059.469999999</c:v>
                </c:pt>
                <c:pt idx="3">
                  <c:v>17747116.069999997</c:v>
                </c:pt>
                <c:pt idx="4">
                  <c:v>15390801.880000003</c:v>
                </c:pt>
                <c:pt idx="5">
                  <c:v>13815307.889999999</c:v>
                </c:pt>
              </c:numCache>
            </c:numRef>
          </c:val>
          <c:extLst>
            <c:ext xmlns:c16="http://schemas.microsoft.com/office/drawing/2014/chart" uri="{C3380CC4-5D6E-409C-BE32-E72D297353CC}">
              <c16:uniqueId val="{00000000-7101-4F1B-B5B8-97F6D9D77FCE}"/>
            </c:ext>
          </c:extLst>
        </c:ser>
        <c:dLbls>
          <c:showLegendKey val="0"/>
          <c:showVal val="0"/>
          <c:showCatName val="0"/>
          <c:showSerName val="0"/>
          <c:showPercent val="0"/>
          <c:showBubbleSize val="0"/>
        </c:dLbls>
        <c:gapWidth val="219"/>
        <c:overlap val="-27"/>
        <c:axId val="1053032752"/>
        <c:axId val="1121990448"/>
      </c:barChart>
      <c:catAx>
        <c:axId val="105303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990448"/>
        <c:crosses val="autoZero"/>
        <c:auto val="1"/>
        <c:lblAlgn val="ctr"/>
        <c:lblOffset val="100"/>
        <c:noMultiLvlLbl val="0"/>
      </c:catAx>
      <c:valAx>
        <c:axId val="112199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03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[Mini Project Data - Sales &amp; Profit Analysis with Excel.xlsx]Pivot-Analysis!PivotTable13</c:name>
    <c:fmtId val="39"/>
  </c:pivotSource>
  <c:chart>
    <c:title>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ysClr val="window" lastClr="FFFFFF"/>
          </a:solidFill>
          <a:ln w="25400">
            <a:noFill/>
          </a:ln>
          <a:effectLst/>
        </c:spPr>
        <c:marker>
          <c:symbol val="none"/>
        </c:marker>
      </c:pivotFmt>
      <c:pivotFmt>
        <c:idx val="7"/>
        <c:spPr>
          <a:solidFill>
            <a:sysClr val="window" lastClr="FFFFFF"/>
          </a:solidFill>
          <a:ln>
            <a:noFill/>
          </a:ln>
          <a:effectLst/>
        </c:spPr>
        <c:marker>
          <c:symbol val="none"/>
        </c:marker>
      </c:pivotFmt>
      <c:pivotFmt>
        <c:idx val="8"/>
        <c:spPr>
          <a:solidFill>
            <a:sysClr val="window" lastClr="FFFFFF"/>
          </a:solidFill>
          <a:ln>
            <a:noFill/>
          </a:ln>
          <a:effectLst/>
        </c:spPr>
        <c:marker>
          <c:symbol val="none"/>
        </c:marker>
      </c:pivotFmt>
      <c:pivotFmt>
        <c:idx val="9"/>
        <c:spPr>
          <a:solidFill>
            <a:sysClr val="window" lastClr="FFFFFF"/>
          </a:solidFill>
          <a:ln>
            <a:noFill/>
          </a:ln>
          <a:effectLst/>
        </c:spPr>
        <c:marker>
          <c:symbol val="none"/>
        </c:marker>
      </c:pivotFmt>
      <c:pivotFmt>
        <c:idx val="10"/>
        <c:spPr>
          <a:solidFill>
            <a:sysClr val="window" lastClr="FFFFFF"/>
          </a:solidFill>
          <a:ln w="25400">
            <a:noFill/>
          </a:ln>
          <a:effectLst/>
        </c:spPr>
        <c:marker>
          <c:symbol val="none"/>
        </c:marker>
      </c:pivotFmt>
      <c:pivotFmt>
        <c:idx val="11"/>
        <c:spPr>
          <a:solidFill>
            <a:sysClr val="window" lastClr="FFFFFF"/>
          </a:solidFill>
          <a:ln w="25400">
            <a:noFill/>
          </a:ln>
          <a:effectLst/>
        </c:spPr>
        <c:marker>
          <c:symbol val="none"/>
        </c:marker>
      </c:pivotFmt>
      <c:pivotFmt>
        <c:idx val="12"/>
        <c:spPr>
          <a:solidFill>
            <a:sysClr val="window" lastClr="FFFFFF"/>
          </a:solidFill>
          <a:ln>
            <a:noFill/>
          </a:ln>
          <a:effectLst/>
        </c:spPr>
        <c:marker>
          <c:symbol val="none"/>
        </c:marker>
      </c:pivotFmt>
      <c:pivotFmt>
        <c:idx val="13"/>
        <c:spPr>
          <a:solidFill>
            <a:sysClr val="window" lastClr="FFFFFF"/>
          </a:solidFill>
          <a:ln>
            <a:noFill/>
          </a:ln>
          <a:effectLst/>
        </c:spPr>
        <c:marker>
          <c:symbol val="none"/>
        </c:marker>
      </c:pivotFmt>
      <c:pivotFmt>
        <c:idx val="14"/>
        <c:spPr>
          <a:solidFill>
            <a:sysClr val="window" lastClr="FFFFFF"/>
          </a:solidFill>
          <a:ln>
            <a:noFill/>
          </a:ln>
          <a:effectLst/>
        </c:spPr>
        <c:marker>
          <c:symbol val="none"/>
        </c:marker>
      </c:pivotFmt>
      <c:pivotFmt>
        <c:idx val="15"/>
        <c:spPr>
          <a:solidFill>
            <a:sysClr val="window" lastClr="FFFFFF"/>
          </a:solidFill>
          <a:ln>
            <a:noFill/>
          </a:ln>
          <a:effectLst/>
        </c:spPr>
        <c:marker>
          <c:symbol val="none"/>
        </c:marker>
      </c:pivotFmt>
      <c:pivotFmt>
        <c:idx val="16"/>
        <c:spPr>
          <a:solidFill>
            <a:sysClr val="window" lastClr="FFFFFF"/>
          </a:solidFill>
          <a:ln>
            <a:noFill/>
          </a:ln>
          <a:effectLst/>
        </c:spPr>
        <c:marker>
          <c:symbol val="none"/>
        </c:marker>
      </c:pivotFmt>
      <c:pivotFmt>
        <c:idx val="17"/>
        <c:spPr>
          <a:solidFill>
            <a:sysClr val="window" lastClr="FFFFFF"/>
          </a:solidFill>
          <a:ln>
            <a:noFill/>
          </a:ln>
          <a:effectLst/>
        </c:spPr>
        <c:marker>
          <c:symbol val="none"/>
        </c:marker>
      </c:pivotFmt>
      <c:pivotFmt>
        <c:idx val="18"/>
        <c:spPr>
          <a:solidFill>
            <a:sysClr val="window" lastClr="FFFFFF"/>
          </a:solidFill>
          <a:ln>
            <a:noFill/>
          </a:ln>
          <a:effectLst/>
        </c:spPr>
        <c:marker>
          <c:symbol val="none"/>
        </c:marker>
      </c:pivotFmt>
      <c:pivotFmt>
        <c:idx val="19"/>
        <c:spPr>
          <a:solidFill>
            <a:sysClr val="window" lastClr="FFFFFF"/>
          </a:solidFill>
          <a:ln>
            <a:noFill/>
          </a:ln>
          <a:effectLst/>
        </c:spPr>
        <c:marker>
          <c:symbol val="none"/>
        </c:marker>
      </c:pivotFmt>
      <c:pivotFmt>
        <c:idx val="20"/>
        <c:spPr>
          <a:solidFill>
            <a:sysClr val="window" lastClr="FFFFFF"/>
          </a:solidFill>
          <a:ln>
            <a:noFill/>
          </a:ln>
          <a:effectLst/>
        </c:spPr>
        <c:marker>
          <c:symbol val="none"/>
        </c:marker>
      </c:pivotFmt>
      <c:pivotFmt>
        <c:idx val="21"/>
        <c:spPr>
          <a:solidFill>
            <a:sysClr val="window" lastClr="FFFFFF"/>
          </a:solidFill>
          <a:ln>
            <a:noFill/>
          </a:ln>
          <a:effectLst/>
        </c:spPr>
        <c:marker>
          <c:symbol val="none"/>
        </c:marker>
      </c:pivotFmt>
      <c:pivotFmt>
        <c:idx val="22"/>
        <c:spPr>
          <a:solidFill>
            <a:sysClr val="window" lastClr="FFFFFF"/>
          </a:solidFill>
          <a:ln>
            <a:noFill/>
          </a:ln>
          <a:effectLst/>
        </c:spPr>
        <c:marker>
          <c:symbol val="none"/>
        </c:marker>
      </c:pivotFmt>
      <c:pivotFmt>
        <c:idx val="23"/>
        <c:spPr>
          <a:solidFill>
            <a:sysClr val="window" lastClr="FFFFFF"/>
          </a:solidFill>
          <a:ln>
            <a:noFill/>
          </a:ln>
          <a:effectLst/>
        </c:spPr>
        <c:marker>
          <c:symbol val="none"/>
        </c:marker>
      </c:pivotFmt>
      <c:pivotFmt>
        <c:idx val="24"/>
        <c:spPr>
          <a:solidFill>
            <a:sysClr val="window" lastClr="FFFFFF"/>
          </a:solidFill>
          <a:ln>
            <a:noFill/>
          </a:ln>
          <a:effectLst/>
        </c:spPr>
        <c:marker>
          <c:symbol val="none"/>
        </c:marker>
      </c:pivotFmt>
      <c:pivotFmt>
        <c:idx val="25"/>
        <c:spPr>
          <a:solidFill>
            <a:sysClr val="window" lastClr="FFFFFF"/>
          </a:solidFill>
          <a:ln>
            <a:noFill/>
          </a:ln>
          <a:effectLst/>
        </c:spPr>
        <c:marker>
          <c:symbol val="none"/>
        </c:marker>
      </c:pivotFmt>
      <c:pivotFmt>
        <c:idx val="26"/>
        <c:spPr>
          <a:solidFill>
            <a:sysClr val="window" lastClr="FFFFFF"/>
          </a:solidFill>
          <a:ln>
            <a:noFill/>
          </a:ln>
          <a:effectLst/>
        </c:spPr>
        <c:marker>
          <c:symbol val="none"/>
        </c:marker>
      </c:pivotFmt>
      <c:pivotFmt>
        <c:idx val="27"/>
        <c:spPr>
          <a:solidFill>
            <a:sysClr val="window" lastClr="FFFFFF"/>
          </a:solidFill>
          <a:ln>
            <a:noFill/>
          </a:ln>
          <a:effectLst/>
        </c:spPr>
        <c:marker>
          <c:symbol val="none"/>
        </c:marker>
      </c:pivotFmt>
      <c:pivotFmt>
        <c:idx val="28"/>
        <c:spPr>
          <a:solidFill>
            <a:sysClr val="window" lastClr="FFFFFF"/>
          </a:solidFill>
          <a:ln>
            <a:noFill/>
          </a:ln>
          <a:effectLst/>
        </c:spPr>
        <c:marker>
          <c:symbol val="none"/>
        </c:marker>
      </c:pivotFmt>
      <c:pivotFmt>
        <c:idx val="29"/>
        <c:spPr>
          <a:solidFill>
            <a:sysClr val="window" lastClr="FFFFFF"/>
          </a:solidFill>
          <a:ln>
            <a:noFill/>
          </a:ln>
          <a:effectLst/>
        </c:spPr>
        <c:marker>
          <c:symbol val="none"/>
        </c:marker>
      </c:pivotFmt>
    </c:pivotFmts>
    <c:plotArea>
      <c:layout/>
      <c:areaChart>
        <c:grouping val="standard"/>
        <c:varyColors val="0"/>
        <c:ser>
          <c:idx val="0"/>
          <c:order val="0"/>
          <c:tx>
            <c:strRef>
              <c:f>'Pivot-Analysis'!$B$797:$B$798</c:f>
              <c:strCache>
                <c:ptCount val="1"/>
                <c:pt idx="0">
                  <c:v>United States of America</c:v>
                </c:pt>
              </c:strCache>
            </c:strRef>
          </c:tx>
          <c:spPr>
            <a:solidFill>
              <a:sysClr val="window" lastClr="FFFFFF"/>
            </a:solidFill>
            <a:ln>
              <a:noFill/>
            </a:ln>
            <a:effectLst/>
          </c:spPr>
          <c:cat>
            <c:multiLvlStrRef>
              <c:f>'Pivot-Analysis'!$A$799:$A$817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'Pivot-Analysis'!$B$799:$B$817</c:f>
              <c:numCache>
                <c:formatCode>General</c:formatCode>
                <c:ptCount val="16"/>
                <c:pt idx="0">
                  <c:v>981022.87</c:v>
                </c:pt>
                <c:pt idx="1">
                  <c:v>1954030.7400000002</c:v>
                </c:pt>
                <c:pt idx="2">
                  <c:v>1526745.6400000001</c:v>
                </c:pt>
                <c:pt idx="3">
                  <c:v>662615.57999999996</c:v>
                </c:pt>
                <c:pt idx="4">
                  <c:v>1346026.49</c:v>
                </c:pt>
                <c:pt idx="5">
                  <c:v>1332890.6600000001</c:v>
                </c:pt>
                <c:pt idx="6">
                  <c:v>1789974.4700000002</c:v>
                </c:pt>
                <c:pt idx="7">
                  <c:v>1616624.48</c:v>
                </c:pt>
                <c:pt idx="8">
                  <c:v>1949249.35</c:v>
                </c:pt>
                <c:pt idx="9">
                  <c:v>1323610.7999999998</c:v>
                </c:pt>
                <c:pt idx="10">
                  <c:v>2308798.13</c:v>
                </c:pt>
                <c:pt idx="11">
                  <c:v>2007266.12</c:v>
                </c:pt>
                <c:pt idx="12">
                  <c:v>1429253.48</c:v>
                </c:pt>
                <c:pt idx="13">
                  <c:v>1503072.26</c:v>
                </c:pt>
                <c:pt idx="14">
                  <c:v>1566757.01</c:v>
                </c:pt>
                <c:pt idx="15">
                  <c:v>1731892.1</c:v>
                </c:pt>
              </c:numCache>
            </c:numRef>
          </c:val>
          <c:extLst>
            <c:ext xmlns:c16="http://schemas.microsoft.com/office/drawing/2014/chart" uri="{C3380CC4-5D6E-409C-BE32-E72D297353CC}">
              <c16:uniqueId val="{00000000-1EAC-432D-94A0-7711A609DCF0}"/>
            </c:ext>
          </c:extLst>
        </c:ser>
        <c:dLbls>
          <c:showLegendKey val="0"/>
          <c:showVal val="0"/>
          <c:showCatName val="0"/>
          <c:showSerName val="0"/>
          <c:showPercent val="0"/>
          <c:showBubbleSize val="0"/>
        </c:dLbls>
        <c:axId val="1311833616"/>
        <c:axId val="1447412256"/>
      </c:areaChart>
      <c:catAx>
        <c:axId val="1311833616"/>
        <c:scaling>
          <c:orientation val="minMax"/>
        </c:scaling>
        <c:delete val="1"/>
        <c:axPos val="b"/>
        <c:numFmt formatCode="General" sourceLinked="1"/>
        <c:majorTickMark val="none"/>
        <c:minorTickMark val="none"/>
        <c:tickLblPos val="nextTo"/>
        <c:crossAx val="1447412256"/>
        <c:crosses val="autoZero"/>
        <c:auto val="1"/>
        <c:lblAlgn val="ctr"/>
        <c:lblOffset val="100"/>
        <c:noMultiLvlLbl val="0"/>
      </c:catAx>
      <c:valAx>
        <c:axId val="1447412256"/>
        <c:scaling>
          <c:orientation val="minMax"/>
        </c:scaling>
        <c:delete val="1"/>
        <c:axPos val="l"/>
        <c:numFmt formatCode="General" sourceLinked="1"/>
        <c:majorTickMark val="none"/>
        <c:minorTickMark val="none"/>
        <c:tickLblPos val="nextTo"/>
        <c:crossAx val="13118336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Excel.xlsx]Pivot-Analysis!PivotTable15</c:name>
    <c:fmtId val="38"/>
  </c:pivotSource>
  <c:chart>
    <c:title>
      <c:layout>
        <c:manualLayout>
          <c:xMode val="edge"/>
          <c:yMode val="edge"/>
          <c:x val="0.36172484276729566"/>
          <c:y val="5.1070058469185053E-2"/>
        </c:manualLayout>
      </c:layout>
      <c:overlay val="0"/>
      <c:spPr>
        <a:noFill/>
        <a:ln>
          <a:noFill/>
        </a:ln>
        <a:effectLst/>
      </c:spPr>
      <c:txPr>
        <a:bodyPr rot="0" spcFirstLastPara="1" vertOverflow="ellipsis" vert="horz" wrap="square" anchor="ctr" anchorCtr="1"/>
        <a:lstStyle/>
        <a:p>
          <a:pPr algn="ctr" rtl="0">
            <a:defRPr lang="en-US" sz="1100" b="0" i="0" u="none" strike="noStrike" kern="1200" spc="0" baseline="0">
              <a:solidFill>
                <a:sysClr val="window" lastClr="FFFFF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pivotFmt>
      <c:pivotFmt>
        <c:idx val="3"/>
        <c:spPr>
          <a:solidFill>
            <a:schemeClr val="bg1"/>
          </a:solidFill>
          <a:ln>
            <a:noFill/>
          </a:ln>
          <a:effectLst/>
        </c:spPr>
        <c:marker>
          <c:symbol val="none"/>
        </c:marker>
      </c:pivotFmt>
      <c:pivotFmt>
        <c:idx val="4"/>
        <c:spPr>
          <a:solidFill>
            <a:schemeClr val="bg1"/>
          </a:solidFill>
          <a:ln>
            <a:noFill/>
          </a:ln>
          <a:effectLst/>
        </c:spPr>
        <c:marker>
          <c:symbol val="none"/>
        </c:marker>
      </c:pivotFmt>
      <c:pivotFmt>
        <c:idx val="5"/>
        <c:spPr>
          <a:solidFill>
            <a:schemeClr val="bg1"/>
          </a:solidFill>
          <a:ln>
            <a:noFill/>
          </a:ln>
          <a:effectLst/>
        </c:spPr>
        <c:marker>
          <c:symbol val="none"/>
        </c:marker>
      </c:pivotFmt>
      <c:pivotFmt>
        <c:idx val="6"/>
        <c:spPr>
          <a:solidFill>
            <a:schemeClr val="bg1"/>
          </a:solidFill>
          <a:ln>
            <a:noFill/>
          </a:ln>
          <a:effectLst/>
        </c:spPr>
        <c:marker>
          <c:symbol val="none"/>
        </c:marker>
      </c:pivotFmt>
      <c:pivotFmt>
        <c:idx val="7"/>
        <c:spPr>
          <a:solidFill>
            <a:schemeClr val="bg1"/>
          </a:solidFill>
          <a:ln>
            <a:noFill/>
          </a:ln>
          <a:effectLst/>
        </c:spPr>
        <c:marker>
          <c:symbol val="none"/>
        </c:marker>
      </c:pivotFmt>
      <c:pivotFmt>
        <c:idx val="8"/>
        <c:spPr>
          <a:solidFill>
            <a:schemeClr val="bg1"/>
          </a:solidFill>
          <a:ln>
            <a:noFill/>
          </a:ln>
          <a:effectLst/>
        </c:spPr>
        <c:marker>
          <c:symbol val="none"/>
        </c:marker>
      </c:pivotFmt>
      <c:pivotFmt>
        <c:idx val="9"/>
        <c:spPr>
          <a:solidFill>
            <a:schemeClr val="bg1"/>
          </a:solidFill>
          <a:ln>
            <a:noFill/>
          </a:ln>
          <a:effectLst/>
        </c:spPr>
        <c:marker>
          <c:symbol val="none"/>
        </c:marker>
      </c:pivotFmt>
      <c:pivotFmt>
        <c:idx val="10"/>
        <c:spPr>
          <a:solidFill>
            <a:schemeClr val="bg1"/>
          </a:solidFill>
          <a:ln>
            <a:noFill/>
          </a:ln>
          <a:effectLst/>
        </c:spPr>
        <c:marker>
          <c:symbol val="none"/>
        </c:marker>
      </c:pivotFmt>
      <c:pivotFmt>
        <c:idx val="11"/>
        <c:spPr>
          <a:solidFill>
            <a:schemeClr val="bg1"/>
          </a:solidFill>
          <a:ln>
            <a:noFill/>
          </a:ln>
          <a:effectLst/>
        </c:spPr>
        <c:marker>
          <c:symbol val="none"/>
        </c:marker>
      </c:pivotFmt>
      <c:pivotFmt>
        <c:idx val="12"/>
        <c:spPr>
          <a:solidFill>
            <a:schemeClr val="bg1"/>
          </a:solidFill>
          <a:ln>
            <a:noFill/>
          </a:ln>
          <a:effectLst/>
        </c:spPr>
        <c:marker>
          <c:symbol val="none"/>
        </c:marker>
      </c:pivotFmt>
      <c:pivotFmt>
        <c:idx val="13"/>
        <c:spPr>
          <a:solidFill>
            <a:schemeClr val="bg1"/>
          </a:solidFill>
          <a:ln>
            <a:noFill/>
          </a:ln>
          <a:effectLst/>
        </c:spPr>
        <c:marker>
          <c:symbol val="none"/>
        </c:marker>
      </c:pivotFmt>
      <c:pivotFmt>
        <c:idx val="14"/>
        <c:spPr>
          <a:solidFill>
            <a:schemeClr val="bg1"/>
          </a:solidFill>
          <a:ln>
            <a:noFill/>
          </a:ln>
          <a:effectLst/>
        </c:spPr>
        <c:marker>
          <c:symbol val="none"/>
        </c:marker>
      </c:pivotFmt>
      <c:pivotFmt>
        <c:idx val="15"/>
        <c:spPr>
          <a:solidFill>
            <a:schemeClr val="bg1"/>
          </a:solidFill>
          <a:ln>
            <a:noFill/>
          </a:ln>
          <a:effectLst/>
        </c:spPr>
        <c:marker>
          <c:symbol val="none"/>
        </c:marker>
      </c:pivotFmt>
      <c:pivotFmt>
        <c:idx val="16"/>
        <c:spPr>
          <a:solidFill>
            <a:schemeClr val="bg1"/>
          </a:solidFill>
          <a:ln>
            <a:noFill/>
          </a:ln>
          <a:effectLst/>
        </c:spPr>
        <c:marker>
          <c:symbol val="none"/>
        </c:marker>
      </c:pivotFmt>
      <c:pivotFmt>
        <c:idx val="17"/>
        <c:spPr>
          <a:solidFill>
            <a:schemeClr val="bg1"/>
          </a:solidFill>
          <a:ln>
            <a:noFill/>
          </a:ln>
          <a:effectLst/>
        </c:spPr>
        <c:marker>
          <c:symbol val="none"/>
        </c:marker>
      </c:pivotFmt>
      <c:pivotFmt>
        <c:idx val="18"/>
        <c:spPr>
          <a:solidFill>
            <a:schemeClr val="bg1"/>
          </a:solidFill>
          <a:ln>
            <a:noFill/>
          </a:ln>
          <a:effectLst/>
        </c:spPr>
        <c:marker>
          <c:symbol val="none"/>
        </c:marker>
      </c:pivotFmt>
      <c:pivotFmt>
        <c:idx val="19"/>
        <c:spPr>
          <a:solidFill>
            <a:schemeClr val="bg1"/>
          </a:solidFill>
          <a:ln>
            <a:noFill/>
          </a:ln>
          <a:effectLst/>
        </c:spPr>
        <c:marker>
          <c:symbol val="none"/>
        </c:marker>
      </c:pivotFmt>
      <c:pivotFmt>
        <c:idx val="20"/>
        <c:spPr>
          <a:solidFill>
            <a:schemeClr val="bg1"/>
          </a:solidFill>
          <a:ln>
            <a:noFill/>
          </a:ln>
          <a:effectLst/>
        </c:spPr>
        <c:marker>
          <c:symbol val="none"/>
        </c:marker>
      </c:pivotFmt>
    </c:pivotFmts>
    <c:plotArea>
      <c:layout/>
      <c:areaChart>
        <c:grouping val="standard"/>
        <c:varyColors val="0"/>
        <c:ser>
          <c:idx val="0"/>
          <c:order val="0"/>
          <c:tx>
            <c:strRef>
              <c:f>'Pivot-Analysis'!$B$847:$B$848</c:f>
              <c:strCache>
                <c:ptCount val="1"/>
                <c:pt idx="0">
                  <c:v>France</c:v>
                </c:pt>
              </c:strCache>
            </c:strRef>
          </c:tx>
          <c:spPr>
            <a:solidFill>
              <a:schemeClr val="bg1"/>
            </a:solidFill>
            <a:ln>
              <a:noFill/>
            </a:ln>
            <a:effectLst/>
          </c:spPr>
          <c:cat>
            <c:multiLvlStrRef>
              <c:f>'Pivot-Analysis'!$A$849:$A$867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'Pivot-Analysis'!$B$849:$B$867</c:f>
              <c:numCache>
                <c:formatCode>General</c:formatCode>
                <c:ptCount val="16"/>
                <c:pt idx="0">
                  <c:v>175922.59</c:v>
                </c:pt>
                <c:pt idx="1">
                  <c:v>431798.95999999996</c:v>
                </c:pt>
                <c:pt idx="2">
                  <c:v>120407.3</c:v>
                </c:pt>
                <c:pt idx="3">
                  <c:v>83203.320000000007</c:v>
                </c:pt>
                <c:pt idx="4">
                  <c:v>247508.75</c:v>
                </c:pt>
                <c:pt idx="5">
                  <c:v>323158.45999999996</c:v>
                </c:pt>
                <c:pt idx="6">
                  <c:v>131492.75</c:v>
                </c:pt>
                <c:pt idx="7">
                  <c:v>136497.20000000001</c:v>
                </c:pt>
                <c:pt idx="8">
                  <c:v>156518.97</c:v>
                </c:pt>
                <c:pt idx="9">
                  <c:v>333537.98</c:v>
                </c:pt>
                <c:pt idx="10">
                  <c:v>131731.08000000002</c:v>
                </c:pt>
                <c:pt idx="11">
                  <c:v>91657.09</c:v>
                </c:pt>
                <c:pt idx="12">
                  <c:v>335839.99</c:v>
                </c:pt>
                <c:pt idx="13">
                  <c:v>481553.55999999994</c:v>
                </c:pt>
                <c:pt idx="14">
                  <c:v>144743.59</c:v>
                </c:pt>
                <c:pt idx="15">
                  <c:v>455449.19999999995</c:v>
                </c:pt>
              </c:numCache>
            </c:numRef>
          </c:val>
          <c:extLst>
            <c:ext xmlns:c16="http://schemas.microsoft.com/office/drawing/2014/chart" uri="{C3380CC4-5D6E-409C-BE32-E72D297353CC}">
              <c16:uniqueId val="{00000000-5395-4F6C-92A3-83718B92B867}"/>
            </c:ext>
          </c:extLst>
        </c:ser>
        <c:dLbls>
          <c:showLegendKey val="0"/>
          <c:showVal val="0"/>
          <c:showCatName val="0"/>
          <c:showSerName val="0"/>
          <c:showPercent val="0"/>
          <c:showBubbleSize val="0"/>
        </c:dLbls>
        <c:axId val="180683808"/>
        <c:axId val="147133504"/>
      </c:areaChart>
      <c:catAx>
        <c:axId val="180683808"/>
        <c:scaling>
          <c:orientation val="minMax"/>
        </c:scaling>
        <c:delete val="1"/>
        <c:axPos val="b"/>
        <c:numFmt formatCode="General" sourceLinked="1"/>
        <c:majorTickMark val="out"/>
        <c:minorTickMark val="none"/>
        <c:tickLblPos val="nextTo"/>
        <c:crossAx val="147133504"/>
        <c:crosses val="autoZero"/>
        <c:auto val="1"/>
        <c:lblAlgn val="ctr"/>
        <c:lblOffset val="100"/>
        <c:noMultiLvlLbl val="0"/>
      </c:catAx>
      <c:valAx>
        <c:axId val="147133504"/>
        <c:scaling>
          <c:orientation val="minMax"/>
        </c:scaling>
        <c:delete val="1"/>
        <c:axPos val="l"/>
        <c:numFmt formatCode="General" sourceLinked="1"/>
        <c:majorTickMark val="none"/>
        <c:minorTickMark val="none"/>
        <c:tickLblPos val="nextTo"/>
        <c:crossAx val="1806838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Excel.xlsx]Pivot-Analysis!PivotTable14</c:name>
    <c:fmtId val="44"/>
  </c:pivotSource>
  <c:chart>
    <c:title>
      <c:layout>
        <c:manualLayout>
          <c:xMode val="edge"/>
          <c:yMode val="edge"/>
          <c:x val="0.32593941484397199"/>
          <c:y val="0"/>
        </c:manualLayout>
      </c:layout>
      <c:overlay val="0"/>
      <c:spPr>
        <a:noFill/>
        <a:ln>
          <a:noFill/>
        </a:ln>
        <a:effectLst/>
      </c:spPr>
      <c:txPr>
        <a:bodyPr rot="0" spcFirstLastPara="1" vertOverflow="ellipsis" vert="horz" wrap="square" anchor="ctr" anchorCtr="1"/>
        <a:lstStyle/>
        <a:p>
          <a:pPr algn="l" rtl="0">
            <a:defRPr lang="en-US" sz="1100" b="0" i="0" u="none" strike="noStrike" kern="1200" spc="0" baseline="0">
              <a:solidFill>
                <a:sysClr val="window" lastClr="FFFFF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pivotFmt>
      <c:pivotFmt>
        <c:idx val="3"/>
        <c:spPr>
          <a:solidFill>
            <a:schemeClr val="bg1"/>
          </a:solidFill>
          <a:ln>
            <a:noFill/>
          </a:ln>
          <a:effectLst/>
        </c:spPr>
        <c:marker>
          <c:symbol val="none"/>
        </c:marker>
      </c:pivotFmt>
      <c:pivotFmt>
        <c:idx val="4"/>
        <c:spPr>
          <a:solidFill>
            <a:schemeClr val="bg1"/>
          </a:solidFill>
          <a:ln>
            <a:noFill/>
          </a:ln>
          <a:effectLst/>
        </c:spPr>
        <c:marker>
          <c:symbol val="none"/>
        </c:marker>
      </c:pivotFmt>
      <c:pivotFmt>
        <c:idx val="5"/>
        <c:spPr>
          <a:solidFill>
            <a:schemeClr val="bg1"/>
          </a:solidFill>
          <a:ln>
            <a:noFill/>
          </a:ln>
          <a:effectLst/>
        </c:spPr>
        <c:marker>
          <c:symbol val="none"/>
        </c:marker>
      </c:pivotFmt>
      <c:pivotFmt>
        <c:idx val="6"/>
        <c:spPr>
          <a:solidFill>
            <a:schemeClr val="bg1"/>
          </a:solidFill>
          <a:ln>
            <a:noFill/>
          </a:ln>
          <a:effectLst/>
        </c:spPr>
        <c:marker>
          <c:symbol val="none"/>
        </c:marker>
      </c:pivotFmt>
      <c:pivotFmt>
        <c:idx val="7"/>
        <c:spPr>
          <a:solidFill>
            <a:schemeClr val="bg1"/>
          </a:solidFill>
          <a:ln>
            <a:noFill/>
          </a:ln>
          <a:effectLst/>
        </c:spPr>
        <c:marker>
          <c:symbol val="none"/>
        </c:marker>
      </c:pivotFmt>
      <c:pivotFmt>
        <c:idx val="8"/>
        <c:spPr>
          <a:solidFill>
            <a:schemeClr val="bg1"/>
          </a:solidFill>
          <a:ln>
            <a:noFill/>
          </a:ln>
          <a:effectLst/>
        </c:spPr>
        <c:marker>
          <c:symbol val="none"/>
        </c:marker>
      </c:pivotFmt>
      <c:pivotFmt>
        <c:idx val="9"/>
        <c:spPr>
          <a:solidFill>
            <a:schemeClr val="bg1"/>
          </a:solidFill>
          <a:ln>
            <a:noFill/>
          </a:ln>
          <a:effectLst/>
        </c:spPr>
        <c:marker>
          <c:symbol val="none"/>
        </c:marker>
      </c:pivotFmt>
      <c:pivotFmt>
        <c:idx val="10"/>
        <c:spPr>
          <a:solidFill>
            <a:schemeClr val="bg1"/>
          </a:solidFill>
          <a:ln>
            <a:noFill/>
          </a:ln>
          <a:effectLst/>
        </c:spPr>
        <c:marker>
          <c:symbol val="none"/>
        </c:marker>
      </c:pivotFmt>
      <c:pivotFmt>
        <c:idx val="11"/>
        <c:spPr>
          <a:no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s>
    <c:plotArea>
      <c:layout/>
      <c:areaChart>
        <c:grouping val="standard"/>
        <c:varyColors val="0"/>
        <c:ser>
          <c:idx val="0"/>
          <c:order val="0"/>
          <c:tx>
            <c:strRef>
              <c:f>'Pivot-Analysis'!$B$821:$B$822</c:f>
              <c:strCache>
                <c:ptCount val="1"/>
                <c:pt idx="0">
                  <c:v>Mexico</c:v>
                </c:pt>
              </c:strCache>
            </c:strRef>
          </c:tx>
          <c:spPr>
            <a:solidFill>
              <a:schemeClr val="accent1"/>
            </a:solidFill>
            <a:ln>
              <a:noFill/>
            </a:ln>
            <a:effectLst/>
          </c:spPr>
          <c:cat>
            <c:multiLvlStrRef>
              <c:f>'Pivot-Analysis'!$A$823:$A$841</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'Pivot-Analysis'!$B$823:$B$841</c:f>
              <c:numCache>
                <c:formatCode>General</c:formatCode>
                <c:ptCount val="16"/>
                <c:pt idx="0">
                  <c:v>646694.19999999995</c:v>
                </c:pt>
                <c:pt idx="1">
                  <c:v>1166052.56</c:v>
                </c:pt>
                <c:pt idx="2">
                  <c:v>1616106.3599999999</c:v>
                </c:pt>
                <c:pt idx="3">
                  <c:v>1325568.1400000001</c:v>
                </c:pt>
                <c:pt idx="4">
                  <c:v>1655822.85</c:v>
                </c:pt>
                <c:pt idx="5">
                  <c:v>1597700.42</c:v>
                </c:pt>
                <c:pt idx="6">
                  <c:v>946494.56</c:v>
                </c:pt>
                <c:pt idx="7">
                  <c:v>1026911.49</c:v>
                </c:pt>
                <c:pt idx="8">
                  <c:v>1116760.07</c:v>
                </c:pt>
                <c:pt idx="9">
                  <c:v>2210094.4</c:v>
                </c:pt>
                <c:pt idx="10">
                  <c:v>926957.94</c:v>
                </c:pt>
                <c:pt idx="11">
                  <c:v>1078756</c:v>
                </c:pt>
                <c:pt idx="12">
                  <c:v>1022441.2599999999</c:v>
                </c:pt>
                <c:pt idx="13">
                  <c:v>1855574.3</c:v>
                </c:pt>
                <c:pt idx="14">
                  <c:v>1123522.8399999999</c:v>
                </c:pt>
                <c:pt idx="15">
                  <c:v>1633894.72</c:v>
                </c:pt>
              </c:numCache>
            </c:numRef>
          </c:val>
          <c:extLst>
            <c:ext xmlns:c16="http://schemas.microsoft.com/office/drawing/2014/chart" uri="{C3380CC4-5D6E-409C-BE32-E72D297353CC}">
              <c16:uniqueId val="{00000000-B615-4DDB-9322-1E31C167227A}"/>
            </c:ext>
          </c:extLst>
        </c:ser>
        <c:dLbls>
          <c:showLegendKey val="0"/>
          <c:showVal val="0"/>
          <c:showCatName val="0"/>
          <c:showSerName val="0"/>
          <c:showPercent val="0"/>
          <c:showBubbleSize val="0"/>
        </c:dLbls>
        <c:axId val="2109100976"/>
        <c:axId val="2116275296"/>
      </c:areaChart>
      <c:catAx>
        <c:axId val="2109100976"/>
        <c:scaling>
          <c:orientation val="minMax"/>
        </c:scaling>
        <c:delete val="1"/>
        <c:axPos val="b"/>
        <c:numFmt formatCode="General" sourceLinked="1"/>
        <c:majorTickMark val="out"/>
        <c:minorTickMark val="none"/>
        <c:tickLblPos val="nextTo"/>
        <c:crossAx val="2116275296"/>
        <c:crosses val="autoZero"/>
        <c:auto val="1"/>
        <c:lblAlgn val="ctr"/>
        <c:lblOffset val="100"/>
        <c:noMultiLvlLbl val="0"/>
      </c:catAx>
      <c:valAx>
        <c:axId val="2116275296"/>
        <c:scaling>
          <c:orientation val="minMax"/>
        </c:scaling>
        <c:delete val="1"/>
        <c:axPos val="l"/>
        <c:numFmt formatCode="General" sourceLinked="1"/>
        <c:majorTickMark val="none"/>
        <c:minorTickMark val="none"/>
        <c:tickLblPos val="nextTo"/>
        <c:crossAx val="21091009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Excel.xlsx]Pivot-Analysis!PivotTable16</c:name>
    <c:fmtId val="33"/>
  </c:pivotSource>
  <c:chart>
    <c:title>
      <c:overlay val="0"/>
      <c:spPr>
        <a:noFill/>
        <a:ln>
          <a:noFill/>
        </a:ln>
        <a:effectLst/>
      </c:spPr>
      <c:txPr>
        <a:bodyPr rot="0" spcFirstLastPara="1" vertOverflow="ellipsis" vert="horz" wrap="square" anchor="ctr" anchorCtr="1"/>
        <a:lstStyle/>
        <a:p>
          <a:pPr algn="ctr" rtl="0">
            <a:defRPr lang="en-US" sz="1200" b="0" i="0" u="none" strike="noStrike" kern="1200" spc="0" baseline="0">
              <a:solidFill>
                <a:sysClr val="window" lastClr="FFFFFF"/>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noFill/>
          <a:ln>
            <a:noFill/>
          </a:ln>
          <a:effectLst/>
        </c:spPr>
        <c:marker>
          <c:symbol val="none"/>
        </c:marker>
      </c:pivotFmt>
      <c:pivotFmt>
        <c:idx val="6"/>
        <c:spPr>
          <a:noFill/>
          <a:ln>
            <a:noFill/>
          </a:ln>
          <a:effectLst/>
        </c:spPr>
        <c:marker>
          <c:symbol val="none"/>
        </c:marker>
      </c:pivotFmt>
      <c:pivotFmt>
        <c:idx val="7"/>
        <c:spPr>
          <a:noFill/>
          <a:ln>
            <a:noFill/>
          </a:ln>
          <a:effectLst/>
        </c:spPr>
        <c:marker>
          <c:symbol val="none"/>
        </c:marker>
      </c:pivotFmt>
      <c:pivotFmt>
        <c:idx val="8"/>
        <c:spPr>
          <a:noFill/>
          <a:ln>
            <a:noFill/>
          </a:ln>
          <a:effectLst/>
        </c:spPr>
        <c:marker>
          <c:symbol val="none"/>
        </c:marker>
      </c:pivotFmt>
      <c:pivotFmt>
        <c:idx val="9"/>
        <c:spPr>
          <a:noFill/>
          <a:ln>
            <a:noFill/>
          </a:ln>
          <a:effectLst/>
        </c:spPr>
        <c:marker>
          <c:symbol val="none"/>
        </c:marker>
      </c:pivotFmt>
      <c:pivotFmt>
        <c:idx val="10"/>
        <c:spPr>
          <a:noFill/>
          <a:ln>
            <a:noFill/>
          </a:ln>
          <a:effectLst/>
        </c:spPr>
        <c:marker>
          <c:symbol val="none"/>
        </c:marker>
      </c:pivotFmt>
      <c:pivotFmt>
        <c:idx val="11"/>
        <c:spPr>
          <a:noFill/>
          <a:ln>
            <a:noFill/>
          </a:ln>
          <a:effectLst/>
        </c:spPr>
        <c:marker>
          <c:symbol val="none"/>
        </c:marker>
      </c:pivotFmt>
      <c:pivotFmt>
        <c:idx val="12"/>
        <c:spPr>
          <a:noFill/>
          <a:ln>
            <a:noFill/>
          </a:ln>
          <a:effectLst/>
        </c:spPr>
        <c:marker>
          <c:symbol val="none"/>
        </c:marker>
      </c:pivotFmt>
      <c:pivotFmt>
        <c:idx val="13"/>
        <c:spPr>
          <a:noFill/>
          <a:ln>
            <a:noFill/>
          </a:ln>
          <a:effectLst/>
        </c:spPr>
        <c:marker>
          <c:symbol val="none"/>
        </c:marker>
      </c:pivotFmt>
    </c:pivotFmts>
    <c:plotArea>
      <c:layout>
        <c:manualLayout>
          <c:layoutTarget val="inner"/>
          <c:xMode val="edge"/>
          <c:yMode val="edge"/>
          <c:x val="8.9704383282364936E-2"/>
          <c:y val="0.39580246913580247"/>
          <c:w val="0.91029561671763504"/>
          <c:h val="0.60419753086419759"/>
        </c:manualLayout>
      </c:layout>
      <c:areaChart>
        <c:grouping val="standard"/>
        <c:varyColors val="0"/>
        <c:ser>
          <c:idx val="0"/>
          <c:order val="0"/>
          <c:tx>
            <c:strRef>
              <c:f>'Pivot-Analysis'!$B$877:$B$878</c:f>
              <c:strCache>
                <c:ptCount val="1"/>
                <c:pt idx="0">
                  <c:v>Mexico</c:v>
                </c:pt>
              </c:strCache>
            </c:strRef>
          </c:tx>
          <c:spPr>
            <a:noFill/>
            <a:ln>
              <a:noFill/>
            </a:ln>
            <a:effectLst/>
          </c:spPr>
          <c:cat>
            <c:multiLvlStrRef>
              <c:f>'Pivot-Analysis'!$A$879:$A$897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'Pivot-Analysis'!$B$879:$B$897</c:f>
              <c:numCache>
                <c:formatCode>General</c:formatCode>
                <c:ptCount val="16"/>
                <c:pt idx="0">
                  <c:v>112149.20000000001</c:v>
                </c:pt>
                <c:pt idx="1">
                  <c:v>141320.56000000003</c:v>
                </c:pt>
                <c:pt idx="2">
                  <c:v>154647.35999999999</c:v>
                </c:pt>
                <c:pt idx="3">
                  <c:v>184553.13999999998</c:v>
                </c:pt>
                <c:pt idx="4">
                  <c:v>250287.84999999998</c:v>
                </c:pt>
                <c:pt idx="5">
                  <c:v>215689.42</c:v>
                </c:pt>
                <c:pt idx="6">
                  <c:v>173589.56</c:v>
                </c:pt>
                <c:pt idx="7">
                  <c:v>170988.49</c:v>
                </c:pt>
                <c:pt idx="8">
                  <c:v>154197.07</c:v>
                </c:pt>
                <c:pt idx="9">
                  <c:v>271730.40000000002</c:v>
                </c:pt>
                <c:pt idx="10">
                  <c:v>106159.94</c:v>
                </c:pt>
                <c:pt idx="11">
                  <c:v>193822</c:v>
                </c:pt>
                <c:pt idx="12">
                  <c:v>156265.26</c:v>
                </c:pt>
                <c:pt idx="13">
                  <c:v>250624.3</c:v>
                </c:pt>
                <c:pt idx="14">
                  <c:v>115977.84</c:v>
                </c:pt>
                <c:pt idx="15">
                  <c:v>255520.71999999997</c:v>
                </c:pt>
              </c:numCache>
            </c:numRef>
          </c:val>
          <c:extLst>
            <c:ext xmlns:c16="http://schemas.microsoft.com/office/drawing/2014/chart" uri="{C3380CC4-5D6E-409C-BE32-E72D297353CC}">
              <c16:uniqueId val="{00000000-62DC-4197-A6C8-FDEC960E5DBD}"/>
            </c:ext>
          </c:extLst>
        </c:ser>
        <c:dLbls>
          <c:showLegendKey val="0"/>
          <c:showVal val="0"/>
          <c:showCatName val="0"/>
          <c:showSerName val="0"/>
          <c:showPercent val="0"/>
          <c:showBubbleSize val="0"/>
        </c:dLbls>
        <c:axId val="180710208"/>
        <c:axId val="147185504"/>
      </c:areaChart>
      <c:catAx>
        <c:axId val="180710208"/>
        <c:scaling>
          <c:orientation val="minMax"/>
        </c:scaling>
        <c:delete val="1"/>
        <c:axPos val="b"/>
        <c:numFmt formatCode="General" sourceLinked="1"/>
        <c:majorTickMark val="out"/>
        <c:minorTickMark val="none"/>
        <c:tickLblPos val="nextTo"/>
        <c:crossAx val="147185504"/>
        <c:crosses val="autoZero"/>
        <c:auto val="1"/>
        <c:lblAlgn val="ctr"/>
        <c:lblOffset val="100"/>
        <c:noMultiLvlLbl val="0"/>
      </c:catAx>
      <c:valAx>
        <c:axId val="147185504"/>
        <c:scaling>
          <c:orientation val="minMax"/>
        </c:scaling>
        <c:delete val="1"/>
        <c:axPos val="l"/>
        <c:numFmt formatCode="General" sourceLinked="1"/>
        <c:majorTickMark val="none"/>
        <c:minorTickMark val="none"/>
        <c:tickLblPos val="nextTo"/>
        <c:crossAx val="1807102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Excel.xlsx]Pivot-Analysis!Sales by Market</c:name>
    <c:fmtId val="12"/>
  </c:pivotSource>
  <c:chart>
    <c:autoTitleDeleted val="1"/>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6.0356652949245491E-2"/>
              <c:y val="4.1450777202072603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5.7613168724279837E-2"/>
              <c:y val="-2.0725388601036395E-2"/>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6.0356652949245491E-2"/>
              <c:y val="4.1450777202072603E-2"/>
            </c:manualLayout>
          </c:layout>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5.7613168724279837E-2"/>
              <c:y val="-2.0725388601036395E-2"/>
            </c:manualLayout>
          </c:layout>
          <c:showLegendKey val="0"/>
          <c:showVal val="0"/>
          <c:showCatName val="1"/>
          <c:showSerName val="0"/>
          <c:showPercent val="1"/>
          <c:showBubbleSize val="0"/>
          <c:extLst>
            <c:ext xmlns:c15="http://schemas.microsoft.com/office/drawing/2012/chart" uri="{CE6537A1-D6FC-4f65-9D91-7224C49458BB}"/>
          </c:extLst>
        </c:dLbl>
      </c:pivotFmt>
      <c:pivotFmt>
        <c:idx val="6"/>
        <c:dLbl>
          <c:idx val="0"/>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8.6737093806334792E-2"/>
              <c:y val="-5.2825366526153959E-2"/>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0.11320536890184101"/>
              <c:y val="8.0284737135130776E-2"/>
            </c:manualLayout>
          </c:layout>
          <c:showLegendKey val="0"/>
          <c:showVal val="0"/>
          <c:showCatName val="1"/>
          <c:showSerName val="0"/>
          <c:showPercent val="1"/>
          <c:showBubbleSize val="0"/>
          <c:extLst>
            <c:ext xmlns:c15="http://schemas.microsoft.com/office/drawing/2012/chart" uri="{CE6537A1-D6FC-4f65-9D91-7224C49458BB}"/>
          </c:extLst>
        </c:dLbl>
      </c:pivotFmt>
      <c:pivotFmt>
        <c:idx val="9"/>
        <c:dLbl>
          <c:idx val="0"/>
          <c:showLegendKey val="0"/>
          <c:showVal val="0"/>
          <c:showCatName val="1"/>
          <c:showSerName val="0"/>
          <c:showPercent val="1"/>
          <c:showBubbleSize val="0"/>
          <c:extLst>
            <c:ext xmlns:c15="http://schemas.microsoft.com/office/drawing/2012/chart" uri="{CE6537A1-D6FC-4f65-9D91-7224C49458BB}"/>
          </c:extLst>
        </c:dLbl>
      </c:pivotFmt>
      <c:pivotFmt>
        <c:idx val="10"/>
        <c:dLbl>
          <c:idx val="0"/>
          <c:layout>
            <c:manualLayout>
              <c:x val="8.6737093806334792E-2"/>
              <c:y val="-5.2825366526153959E-2"/>
            </c:manualLayout>
          </c:layout>
          <c:showLegendKey val="0"/>
          <c:showVal val="0"/>
          <c:showCatName val="1"/>
          <c:showSerName val="0"/>
          <c:showPercent val="1"/>
          <c:showBubbleSize val="0"/>
          <c:extLst>
            <c:ext xmlns:c15="http://schemas.microsoft.com/office/drawing/2012/chart" uri="{CE6537A1-D6FC-4f65-9D91-7224C49458BB}"/>
          </c:extLst>
        </c:dLbl>
      </c:pivotFmt>
      <c:pivotFmt>
        <c:idx val="11"/>
        <c:dLbl>
          <c:idx val="0"/>
          <c:layout>
            <c:manualLayout>
              <c:x val="-0.11320536890184101"/>
              <c:y val="8.0284737135130776E-2"/>
            </c:manualLayout>
          </c:layout>
          <c:showLegendKey val="0"/>
          <c:showVal val="0"/>
          <c:showCatName val="1"/>
          <c:showSerName val="0"/>
          <c:showPercent val="1"/>
          <c:showBubbleSize val="0"/>
          <c:extLst>
            <c:ext xmlns:c15="http://schemas.microsoft.com/office/drawing/2012/chart" uri="{CE6537A1-D6FC-4f65-9D91-7224C49458BB}"/>
          </c:extLst>
        </c:dLbl>
      </c:pivotFmt>
      <c:pivotFmt>
        <c:idx val="12"/>
        <c:dLbl>
          <c:idx val="0"/>
          <c:showLegendKey val="0"/>
          <c:showVal val="0"/>
          <c:showCatName val="1"/>
          <c:showSerName val="0"/>
          <c:showPercent val="1"/>
          <c:showBubbleSize val="0"/>
          <c:extLst>
            <c:ext xmlns:c15="http://schemas.microsoft.com/office/drawing/2012/chart" uri="{CE6537A1-D6FC-4f65-9D91-7224C49458BB}"/>
          </c:extLst>
        </c:dLbl>
      </c:pivotFmt>
      <c:pivotFmt>
        <c:idx val="13"/>
        <c:dLbl>
          <c:idx val="0"/>
          <c:layout>
            <c:manualLayout>
              <c:x val="0.25904494245911569"/>
              <c:y val="-0.10190489992431928"/>
            </c:manualLayout>
          </c:layout>
          <c:showLegendKey val="0"/>
          <c:showVal val="0"/>
          <c:showCatName val="1"/>
          <c:showSerName val="0"/>
          <c:showPercent val="1"/>
          <c:showBubbleSize val="0"/>
          <c:extLst>
            <c:ext xmlns:c15="http://schemas.microsoft.com/office/drawing/2012/chart" uri="{CE6537A1-D6FC-4f65-9D91-7224C49458BB}"/>
          </c:extLst>
        </c:dLbl>
      </c:pivotFmt>
      <c:pivotFmt>
        <c:idx val="14"/>
        <c:dLbl>
          <c:idx val="0"/>
          <c:layout>
            <c:manualLayout>
              <c:x val="-0.21361502119927317"/>
              <c:y val="0.130664863211117"/>
            </c:manualLayout>
          </c:layout>
          <c:showLegendKey val="0"/>
          <c:showVal val="0"/>
          <c:showCatName val="1"/>
          <c:showSerName val="0"/>
          <c:showPercent val="1"/>
          <c:showBubbleSize val="0"/>
          <c:extLst>
            <c:ext xmlns:c15="http://schemas.microsoft.com/office/drawing/2012/chart" uri="{CE6537A1-D6FC-4f65-9D91-7224C49458BB}"/>
          </c:extLst>
        </c:dLbl>
      </c:pivotFmt>
      <c:pivotFmt>
        <c:idx val="15"/>
        <c:dLbl>
          <c:idx val="0"/>
          <c:showLegendKey val="0"/>
          <c:showVal val="0"/>
          <c:showCatName val="1"/>
          <c:showSerName val="0"/>
          <c:showPercent val="1"/>
          <c:showBubbleSize val="0"/>
          <c:extLst>
            <c:ext xmlns:c15="http://schemas.microsoft.com/office/drawing/2012/chart" uri="{CE6537A1-D6FC-4f65-9D91-7224C49458BB}"/>
          </c:extLst>
        </c:dLbl>
      </c:pivotFmt>
      <c:pivotFmt>
        <c:idx val="16"/>
        <c:dLbl>
          <c:idx val="0"/>
          <c:layout>
            <c:manualLayout>
              <c:x val="0.25904494245911569"/>
              <c:y val="-0.10190489992431928"/>
            </c:manualLayout>
          </c:layout>
          <c:showLegendKey val="0"/>
          <c:showVal val="0"/>
          <c:showCatName val="1"/>
          <c:showSerName val="0"/>
          <c:showPercent val="1"/>
          <c:showBubbleSize val="0"/>
          <c:extLst>
            <c:ext xmlns:c15="http://schemas.microsoft.com/office/drawing/2012/chart" uri="{CE6537A1-D6FC-4f65-9D91-7224C49458BB}"/>
          </c:extLst>
        </c:dLbl>
      </c:pivotFmt>
      <c:pivotFmt>
        <c:idx val="17"/>
        <c:dLbl>
          <c:idx val="0"/>
          <c:layout>
            <c:manualLayout>
              <c:x val="-0.21361502119927317"/>
              <c:y val="0.130664863211117"/>
            </c:manualLayout>
          </c:layout>
          <c:showLegendKey val="0"/>
          <c:showVal val="0"/>
          <c:showCatName val="1"/>
          <c:showSerName val="0"/>
          <c:showPercent val="1"/>
          <c:showBubbleSize val="0"/>
          <c:extLst>
            <c:ext xmlns:c15="http://schemas.microsoft.com/office/drawing/2012/chart" uri="{CE6537A1-D6FC-4f65-9D91-7224C49458BB}"/>
          </c:extLst>
        </c:dLbl>
      </c:pivotFmt>
      <c:pivotFmt>
        <c:idx val="18"/>
        <c:spPr>
          <a:noFill/>
          <a:ln>
            <a:solidFill>
              <a:schemeClr val="bg1"/>
            </a:solid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9"/>
        <c:spPr>
          <a:noFill/>
          <a:ln>
            <a:solidFill>
              <a:schemeClr val="bg1"/>
            </a:solid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a:solidFill>
                      <a:schemeClr val="bg1"/>
                    </a:solidFill>
                  </a:rPr>
                  <a:t>EU</a:t>
                </a:r>
                <a:r>
                  <a:rPr lang="en-US" baseline="0">
                    <a:solidFill>
                      <a:schemeClr val="bg1"/>
                    </a:solidFill>
                  </a:rPr>
                  <a:t>
</a:t>
                </a:r>
                <a:fld id="{3FE3584A-5690-4A63-A5D6-15E842108B00}" type="PERCENTAGE">
                  <a:rPr lang="en-US" baseline="0">
                    <a:solidFill>
                      <a:schemeClr val="bg1"/>
                    </a:solidFill>
                  </a:rPr>
                  <a:pPr>
                    <a:defRPr>
                      <a:solidFill>
                        <a:schemeClr val="bg1"/>
                      </a:solidFill>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0"/>
        <c:spPr>
          <a:solidFill>
            <a:sysClr val="window" lastClr="FFFFFF"/>
          </a:solidFill>
          <a:ln>
            <a:solidFill>
              <a:schemeClr val="bg1"/>
            </a:solidFill>
          </a:ln>
          <a:effectLst>
            <a:outerShdw blurRad="317500" algn="ctr" rotWithShape="0">
              <a:prstClr val="black">
                <a:alpha val="25000"/>
              </a:prst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a:solidFill>
                      <a:schemeClr val="tx1"/>
                    </a:solidFill>
                  </a:rPr>
                  <a:t>NA
</a:t>
                </a:r>
                <a:fld id="{268CE9B3-0058-4B47-A01C-47F8EDE43593}" type="PERCENTAGE">
                  <a:rPr lang="en-US">
                    <a:solidFill>
                      <a:schemeClr val="tx1"/>
                    </a:solidFill>
                  </a:rPr>
                  <a:pPr>
                    <a:defRPr/>
                  </a:pPr>
                  <a:t>[PERCENTAGE]</a:t>
                </a:fld>
                <a:endParaRPr lang="en-US">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'Pivot-Analysis'!$B$3</c:f>
              <c:strCache>
                <c:ptCount val="1"/>
                <c:pt idx="0">
                  <c:v>Total</c:v>
                </c:pt>
              </c:strCache>
            </c:strRef>
          </c:tx>
          <c:spPr>
            <a:noFill/>
            <a:ln>
              <a:solidFill>
                <a:schemeClr val="bg1"/>
              </a:solidFill>
            </a:ln>
          </c:spPr>
          <c:dPt>
            <c:idx val="0"/>
            <c:bubble3D val="0"/>
            <c:spPr>
              <a:noFill/>
              <a:ln>
                <a:solidFill>
                  <a:schemeClr val="bg1"/>
                </a:solidFill>
              </a:ln>
              <a:effectLst>
                <a:outerShdw blurRad="317500" algn="ctr" rotWithShape="0">
                  <a:prstClr val="black">
                    <a:alpha val="25000"/>
                  </a:prstClr>
                </a:outerShdw>
              </a:effectLst>
            </c:spPr>
            <c:extLst>
              <c:ext xmlns:c16="http://schemas.microsoft.com/office/drawing/2014/chart" uri="{C3380CC4-5D6E-409C-BE32-E72D297353CC}">
                <c16:uniqueId val="{00000001-1EBF-4075-BD78-B4A402D6E8B5}"/>
              </c:ext>
            </c:extLst>
          </c:dPt>
          <c:dPt>
            <c:idx val="1"/>
            <c:bubble3D val="0"/>
            <c:spPr>
              <a:solidFill>
                <a:sysClr val="window" lastClr="FFFFFF"/>
              </a:solidFill>
              <a:ln>
                <a:solidFill>
                  <a:schemeClr val="bg1"/>
                </a:solidFill>
              </a:ln>
              <a:effectLst>
                <a:outerShdw blurRad="317500" algn="ctr" rotWithShape="0">
                  <a:prstClr val="black">
                    <a:alpha val="25000"/>
                  </a:prstClr>
                </a:outerShdw>
              </a:effectLst>
            </c:spPr>
            <c:extLst>
              <c:ext xmlns:c16="http://schemas.microsoft.com/office/drawing/2014/chart" uri="{C3380CC4-5D6E-409C-BE32-E72D297353CC}">
                <c16:uniqueId val="{00000003-1EBF-4075-BD78-B4A402D6E8B5}"/>
              </c:ext>
            </c:extLst>
          </c:dPt>
          <c:dLbls>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a:solidFill>
                          <a:schemeClr val="bg1"/>
                        </a:solidFill>
                      </a:rPr>
                      <a:t>EU</a:t>
                    </a:r>
                    <a:r>
                      <a:rPr lang="en-US" baseline="0">
                        <a:solidFill>
                          <a:schemeClr val="bg1"/>
                        </a:solidFill>
                      </a:rPr>
                      <a:t>
</a:t>
                    </a:r>
                    <a:fld id="{3FE3584A-5690-4A63-A5D6-15E842108B00}" type="PERCENTAGE">
                      <a:rPr lang="en-US" baseline="0">
                        <a:solidFill>
                          <a:schemeClr val="bg1"/>
                        </a:solidFill>
                      </a:rPr>
                      <a:pPr>
                        <a:defRPr>
                          <a:solidFill>
                            <a:schemeClr val="bg1"/>
                          </a:solidFill>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EBF-4075-BD78-B4A402D6E8B5}"/>
                </c:ext>
              </c:extLst>
            </c:dLbl>
            <c:dLbl>
              <c:idx val="1"/>
              <c:tx>
                <c:rich>
                  <a:bodyPr/>
                  <a:lstStyle/>
                  <a:p>
                    <a:r>
                      <a:rPr lang="en-US">
                        <a:solidFill>
                          <a:schemeClr val="tx1"/>
                        </a:solidFill>
                      </a:rPr>
                      <a:t>NA
</a:t>
                    </a:r>
                    <a:fld id="{268CE9B3-0058-4B47-A01C-47F8EDE43593}" type="PERCENTAGE">
                      <a:rPr lang="en-US">
                        <a:solidFill>
                          <a:schemeClr val="tx1"/>
                        </a:solidFill>
                      </a:rPr>
                      <a:pPr/>
                      <a:t>[PERCENTAGE]</a:t>
                    </a:fld>
                    <a:endParaRPr lang="en-US">
                      <a:solidFill>
                        <a:schemeClr val="tx1"/>
                      </a:solidFill>
                    </a:endParaRPr>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EBF-4075-BD78-B4A402D6E8B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'Pivot-Analysis'!$A$4:$A$6</c:f>
              <c:strCache>
                <c:ptCount val="2"/>
                <c:pt idx="0">
                  <c:v>Europe</c:v>
                </c:pt>
                <c:pt idx="1">
                  <c:v>North America</c:v>
                </c:pt>
              </c:strCache>
            </c:strRef>
          </c:cat>
          <c:val>
            <c:numRef>
              <c:f>'Pivot-Analysis'!$B$4:$B$6</c:f>
              <c:numCache>
                <c:formatCode>General</c:formatCode>
                <c:ptCount val="2"/>
                <c:pt idx="0">
                  <c:v>47859513.110000014</c:v>
                </c:pt>
                <c:pt idx="1">
                  <c:v>70866837.179999992</c:v>
                </c:pt>
              </c:numCache>
            </c:numRef>
          </c:val>
          <c:extLst>
            <c:ext xmlns:c16="http://schemas.microsoft.com/office/drawing/2014/chart" uri="{C3380CC4-5D6E-409C-BE32-E72D297353CC}">
              <c16:uniqueId val="{00000004-1EBF-4075-BD78-B4A402D6E8B5}"/>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Excel.xlsx]Pivot-Analysis!Sales by Market</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0356652949245491E-2"/>
              <c:y val="4.14507772020726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5.7613168724279837E-2"/>
              <c:y val="-2.07253886010363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'Pivot-Analysis'!$B$3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38-4F7A-A460-E88FC84B5D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38-4F7A-A460-E88FC84B5D30}"/>
              </c:ext>
            </c:extLst>
          </c:dPt>
          <c:dLbls>
            <c:dLbl>
              <c:idx val="0"/>
              <c:layout>
                <c:manualLayout>
                  <c:x val="-6.0356652949245491E-2"/>
                  <c:y val="4.145077720207260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F38-4F7A-A460-E88FC84B5D30}"/>
                </c:ext>
              </c:extLst>
            </c:dLbl>
            <c:dLbl>
              <c:idx val="1"/>
              <c:layout>
                <c:manualLayout>
                  <c:x val="5.7613168724279837E-2"/>
                  <c:y val="-2.072538860103639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F38-4F7A-A460-E88FC84B5D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'Pivot-Analysis'!$A$4:$A$6</c:f>
              <c:strCache>
                <c:ptCount val="2"/>
                <c:pt idx="0">
                  <c:v>Europe</c:v>
                </c:pt>
                <c:pt idx="1">
                  <c:v>North America</c:v>
                </c:pt>
              </c:strCache>
            </c:strRef>
          </c:cat>
          <c:val>
            <c:numRef>
              <c:f>'Pivot-Analysis'!$B$4:$B$6</c:f>
              <c:numCache>
                <c:formatCode>General</c:formatCode>
                <c:ptCount val="2"/>
                <c:pt idx="0">
                  <c:v>47859513.110000014</c:v>
                </c:pt>
                <c:pt idx="1">
                  <c:v>70866837.179999992</c:v>
                </c:pt>
              </c:numCache>
            </c:numRef>
          </c:val>
          <c:extLst>
            <c:ext xmlns:c16="http://schemas.microsoft.com/office/drawing/2014/chart" uri="{C3380CC4-5D6E-409C-BE32-E72D297353CC}">
              <c16:uniqueId val="{00000000-EC77-45AA-9F07-DF89436BABB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Excel.xlsx]Pivot-Analysis!Sales by Country</c:name>
    <c:fmtId val="1"/>
  </c:pivotSource>
  <c:chart>
    <c:autoTitleDeleted val="1"/>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41019710447192675"/>
          <c:y val="0.11340817230898369"/>
          <c:w val="0.53318117813086385"/>
          <c:h val="0.75760231013339974"/>
        </c:manualLayout>
      </c:layout>
      <c:barChart>
        <c:barDir val="col"/>
        <c:grouping val="clustered"/>
        <c:varyColors val="0"/>
        <c:ser>
          <c:idx val="0"/>
          <c:order val="0"/>
          <c:tx>
            <c:strRef>
              <c:f>'Pivot-Analysis'!$B$16</c:f>
              <c:strCache>
                <c:ptCount val="1"/>
                <c:pt idx="0">
                  <c:v>Sum of Sales</c:v>
                </c:pt>
              </c:strCache>
            </c:strRef>
          </c:tx>
          <c:spPr>
            <a:solidFill>
              <a:schemeClr val="accent1"/>
            </a:solidFill>
            <a:ln>
              <a:noFill/>
            </a:ln>
            <a:effectLst/>
          </c:spPr>
          <c:invertIfNegative val="0"/>
          <c:cat>
            <c:strRef>
              <c:f>'Pivot-Analysis'!$A$17:$A$22</c:f>
              <c:strCache>
                <c:ptCount val="5"/>
                <c:pt idx="0">
                  <c:v>United States of America</c:v>
                </c:pt>
                <c:pt idx="1">
                  <c:v>Canada</c:v>
                </c:pt>
                <c:pt idx="2">
                  <c:v>France</c:v>
                </c:pt>
                <c:pt idx="3">
                  <c:v>Germany</c:v>
                </c:pt>
                <c:pt idx="4">
                  <c:v>Mexico</c:v>
                </c:pt>
              </c:strCache>
            </c:strRef>
          </c:cat>
          <c:val>
            <c:numRef>
              <c:f>'Pivot-Analysis'!$B$17:$B$22</c:f>
              <c:numCache>
                <c:formatCode>General</c:formatCode>
                <c:ptCount val="5"/>
                <c:pt idx="0">
                  <c:v>25029830.18</c:v>
                </c:pt>
                <c:pt idx="1">
                  <c:v>24887654.889999993</c:v>
                </c:pt>
                <c:pt idx="2">
                  <c:v>24354172.289999995</c:v>
                </c:pt>
                <c:pt idx="3">
                  <c:v>23505340.82</c:v>
                </c:pt>
                <c:pt idx="4">
                  <c:v>20949352.109999999</c:v>
                </c:pt>
              </c:numCache>
            </c:numRef>
          </c:val>
          <c:extLst>
            <c:ext xmlns:c16="http://schemas.microsoft.com/office/drawing/2014/chart" uri="{C3380CC4-5D6E-409C-BE32-E72D297353CC}">
              <c16:uniqueId val="{00000000-F16A-4965-BBE2-41F5D4D69019}"/>
            </c:ext>
          </c:extLst>
        </c:ser>
        <c:dLbls>
          <c:showLegendKey val="0"/>
          <c:showVal val="0"/>
          <c:showCatName val="0"/>
          <c:showSerName val="0"/>
          <c:showPercent val="0"/>
          <c:showBubbleSize val="0"/>
        </c:dLbls>
        <c:gapWidth val="219"/>
        <c:axId val="965627376"/>
        <c:axId val="961794400"/>
      </c:barChart>
      <c:lineChart>
        <c:grouping val="standard"/>
        <c:varyColors val="0"/>
        <c:ser>
          <c:idx val="1"/>
          <c:order val="1"/>
          <c:tx>
            <c:strRef>
              <c:f>'Pivot-Analysis'!$C$16</c:f>
              <c:strCache>
                <c:ptCount val="1"/>
                <c:pt idx="0">
                  <c:v>Sum of Profit</c:v>
                </c:pt>
              </c:strCache>
            </c:strRef>
          </c:tx>
          <c:spPr>
            <a:ln w="28575" cap="rnd">
              <a:solidFill>
                <a:schemeClr val="accent2"/>
              </a:solidFill>
              <a:round/>
            </a:ln>
            <a:effectLst/>
          </c:spPr>
          <c:marker>
            <c:symbol val="none"/>
          </c:marker>
          <c:cat>
            <c:strRef>
              <c:f>'Pivot-Analysis'!$A$17:$A$22</c:f>
              <c:strCache>
                <c:ptCount val="5"/>
                <c:pt idx="0">
                  <c:v>United States of America</c:v>
                </c:pt>
                <c:pt idx="1">
                  <c:v>Canada</c:v>
                </c:pt>
                <c:pt idx="2">
                  <c:v>France</c:v>
                </c:pt>
                <c:pt idx="3">
                  <c:v>Germany</c:v>
                </c:pt>
                <c:pt idx="4">
                  <c:v>Mexico</c:v>
                </c:pt>
              </c:strCache>
            </c:strRef>
          </c:cat>
          <c:val>
            <c:numRef>
              <c:f>'Pivot-Analysis'!$C$17:$C$22</c:f>
              <c:numCache>
                <c:formatCode>General</c:formatCode>
                <c:ptCount val="5"/>
                <c:pt idx="0">
                  <c:v>2995540.6799999997</c:v>
                </c:pt>
                <c:pt idx="1">
                  <c:v>3529228.89</c:v>
                </c:pt>
                <c:pt idx="2">
                  <c:v>3781020.79</c:v>
                </c:pt>
                <c:pt idx="3">
                  <c:v>3680388.8200000012</c:v>
                </c:pt>
                <c:pt idx="4">
                  <c:v>2907523.1100000003</c:v>
                </c:pt>
              </c:numCache>
            </c:numRef>
          </c:val>
          <c:smooth val="0"/>
          <c:extLst>
            <c:ext xmlns:c16="http://schemas.microsoft.com/office/drawing/2014/chart" uri="{C3380CC4-5D6E-409C-BE32-E72D297353CC}">
              <c16:uniqueId val="{00000001-F16A-4965-BBE2-41F5D4D69019}"/>
            </c:ext>
          </c:extLst>
        </c:ser>
        <c:dLbls>
          <c:showLegendKey val="0"/>
          <c:showVal val="0"/>
          <c:showCatName val="0"/>
          <c:showSerName val="0"/>
          <c:showPercent val="0"/>
          <c:showBubbleSize val="0"/>
        </c:dLbls>
        <c:marker val="1"/>
        <c:smooth val="0"/>
        <c:axId val="1060473232"/>
        <c:axId val="1060497600"/>
      </c:lineChart>
      <c:catAx>
        <c:axId val="96562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794400"/>
        <c:crosses val="autoZero"/>
        <c:auto val="1"/>
        <c:lblAlgn val="ctr"/>
        <c:lblOffset val="100"/>
        <c:noMultiLvlLbl val="0"/>
      </c:catAx>
      <c:valAx>
        <c:axId val="9617944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2737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0604976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473232"/>
        <c:crosses val="max"/>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1060473232"/>
        <c:scaling>
          <c:orientation val="minMax"/>
        </c:scaling>
        <c:delete val="1"/>
        <c:axPos val="b"/>
        <c:numFmt formatCode="General" sourceLinked="1"/>
        <c:majorTickMark val="out"/>
        <c:minorTickMark val="none"/>
        <c:tickLblPos val="nextTo"/>
        <c:crossAx val="10604976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Excel.xlsx]Pivot-Analysis!Sales by Segment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'Pivot-Analysis'!$B$29</c:f>
              <c:strCache>
                <c:ptCount val="1"/>
                <c:pt idx="0">
                  <c:v>Total</c:v>
                </c:pt>
              </c:strCache>
            </c:strRef>
          </c:tx>
          <c:spPr>
            <a:solidFill>
              <a:schemeClr val="accent1"/>
            </a:solidFill>
            <a:ln>
              <a:noFill/>
            </a:ln>
            <a:effectLst/>
          </c:spPr>
          <c:invertIfNegative val="0"/>
          <c:cat>
            <c:strRef>
              <c:f>'Pivot-Analysis'!$A$30:$A$35</c:f>
              <c:strCache>
                <c:ptCount val="5"/>
                <c:pt idx="0">
                  <c:v>Channel Partners</c:v>
                </c:pt>
                <c:pt idx="1">
                  <c:v>Midmarket</c:v>
                </c:pt>
                <c:pt idx="2">
                  <c:v>Enterprise</c:v>
                </c:pt>
                <c:pt idx="3">
                  <c:v>Small Business</c:v>
                </c:pt>
                <c:pt idx="4">
                  <c:v>Government</c:v>
                </c:pt>
              </c:strCache>
            </c:strRef>
          </c:cat>
          <c:val>
            <c:numRef>
              <c:f>'Pivot-Analysis'!$B$30:$B$35</c:f>
              <c:numCache>
                <c:formatCode>General</c:formatCode>
                <c:ptCount val="5"/>
                <c:pt idx="0">
                  <c:v>1800593.6399999997</c:v>
                </c:pt>
                <c:pt idx="1">
                  <c:v>2381883.09</c:v>
                </c:pt>
                <c:pt idx="2">
                  <c:v>19611694.380000003</c:v>
                </c:pt>
                <c:pt idx="3">
                  <c:v>42427918.5</c:v>
                </c:pt>
                <c:pt idx="4">
                  <c:v>52504260.680000022</c:v>
                </c:pt>
              </c:numCache>
            </c:numRef>
          </c:val>
          <c:extLst>
            <c:ext xmlns:c16="http://schemas.microsoft.com/office/drawing/2014/chart" uri="{C3380CC4-5D6E-409C-BE32-E72D297353CC}">
              <c16:uniqueId val="{00000000-1309-49CE-89B4-4AFD12121B45}"/>
            </c:ext>
          </c:extLst>
        </c:ser>
        <c:dLbls>
          <c:showLegendKey val="0"/>
          <c:showVal val="0"/>
          <c:showCatName val="0"/>
          <c:showSerName val="0"/>
          <c:showPercent val="0"/>
          <c:showBubbleSize val="0"/>
        </c:dLbls>
        <c:gapWidth val="219"/>
        <c:axId val="859428672"/>
        <c:axId val="1065984128"/>
      </c:barChart>
      <c:valAx>
        <c:axId val="1065984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28672"/>
        <c:crosses val="autoZero"/>
        <c:crossBetween val="between"/>
      </c:valAx>
      <c:catAx>
        <c:axId val="859428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9841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Excel.xlsx]Pivot-Analysis!Sales by Time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'Pivot-Analysis'!$B$50</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'Pivot-Analysis'!$A$51:$A$69</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'Pivot-Analysis'!$B$51:$B$69</c:f>
              <c:numCache>
                <c:formatCode>General</c:formatCode>
                <c:ptCount val="16"/>
                <c:pt idx="0">
                  <c:v>4484000.03</c:v>
                </c:pt>
                <c:pt idx="1">
                  <c:v>9295611.0999999996</c:v>
                </c:pt>
                <c:pt idx="2">
                  <c:v>7267203.2999999989</c:v>
                </c:pt>
                <c:pt idx="3">
                  <c:v>5368441.08</c:v>
                </c:pt>
                <c:pt idx="4">
                  <c:v>6607761.6899999995</c:v>
                </c:pt>
                <c:pt idx="5">
                  <c:v>7297531.3900000006</c:v>
                </c:pt>
                <c:pt idx="6">
                  <c:v>5586859.8699999992</c:v>
                </c:pt>
                <c:pt idx="7">
                  <c:v>6964775.0800000001</c:v>
                </c:pt>
                <c:pt idx="8">
                  <c:v>6210211.0599999996</c:v>
                </c:pt>
                <c:pt idx="9">
                  <c:v>9518893.8200000003</c:v>
                </c:pt>
                <c:pt idx="10">
                  <c:v>8102920.1900000013</c:v>
                </c:pt>
                <c:pt idx="11">
                  <c:v>5864622.4199999999</c:v>
                </c:pt>
                <c:pt idx="12">
                  <c:v>6398697.2399999993</c:v>
                </c:pt>
                <c:pt idx="13">
                  <c:v>12375819.92</c:v>
                </c:pt>
                <c:pt idx="14">
                  <c:v>5384214.1999999993</c:v>
                </c:pt>
                <c:pt idx="15">
                  <c:v>11998787.899999999</c:v>
                </c:pt>
              </c:numCache>
            </c:numRef>
          </c:val>
          <c:smooth val="0"/>
          <c:extLst>
            <c:ext xmlns:c16="http://schemas.microsoft.com/office/drawing/2014/chart" uri="{C3380CC4-5D6E-409C-BE32-E72D297353CC}">
              <c16:uniqueId val="{00000000-B6EF-46C8-BFFC-FFF2E23FF184}"/>
            </c:ext>
          </c:extLst>
        </c:ser>
        <c:ser>
          <c:idx val="1"/>
          <c:order val="1"/>
          <c:tx>
            <c:strRef>
              <c:f>'Pivot-Analysis'!$C$50</c:f>
              <c:strCache>
                <c:ptCount val="1"/>
                <c:pt idx="0">
                  <c:v>Sum of COGS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'Pivot-Analysis'!$A$51:$A$69</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'Pivot-Analysis'!$C$51:$C$69</c:f>
              <c:numCache>
                <c:formatCode>General</c:formatCode>
                <c:ptCount val="16"/>
                <c:pt idx="0">
                  <c:v>3720397</c:v>
                </c:pt>
                <c:pt idx="1">
                  <c:v>7637816</c:v>
                </c:pt>
                <c:pt idx="2">
                  <c:v>6501701</c:v>
                </c:pt>
                <c:pt idx="3">
                  <c:v>4676877</c:v>
                </c:pt>
                <c:pt idx="4">
                  <c:v>5793733</c:v>
                </c:pt>
                <c:pt idx="5">
                  <c:v>6148984</c:v>
                </c:pt>
                <c:pt idx="6">
                  <c:v>4916993</c:v>
                </c:pt>
                <c:pt idx="7">
                  <c:v>6034790.5</c:v>
                </c:pt>
                <c:pt idx="8">
                  <c:v>5381571</c:v>
                </c:pt>
                <c:pt idx="9">
                  <c:v>8045140</c:v>
                </c:pt>
                <c:pt idx="10">
                  <c:v>7179054.5</c:v>
                </c:pt>
                <c:pt idx="11">
                  <c:v>5073556</c:v>
                </c:pt>
                <c:pt idx="12">
                  <c:v>5375565</c:v>
                </c:pt>
                <c:pt idx="13">
                  <c:v>10593834</c:v>
                </c:pt>
                <c:pt idx="14">
                  <c:v>4779614</c:v>
                </c:pt>
                <c:pt idx="15">
                  <c:v>9973022</c:v>
                </c:pt>
              </c:numCache>
            </c:numRef>
          </c:val>
          <c:smooth val="0"/>
          <c:extLst>
            <c:ext xmlns:c16="http://schemas.microsoft.com/office/drawing/2014/chart" uri="{C3380CC4-5D6E-409C-BE32-E72D297353CC}">
              <c16:uniqueId val="{00000000-D5A7-49CA-8013-BA33EB293D7F}"/>
            </c:ext>
          </c:extLst>
        </c:ser>
        <c:dLbls>
          <c:showLegendKey val="0"/>
          <c:showVal val="0"/>
          <c:showCatName val="0"/>
          <c:showSerName val="0"/>
          <c:showPercent val="0"/>
          <c:showBubbleSize val="0"/>
        </c:dLbls>
        <c:marker val="1"/>
        <c:smooth val="0"/>
        <c:axId val="695491440"/>
        <c:axId val="1065996192"/>
      </c:lineChart>
      <c:catAx>
        <c:axId val="69549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996192"/>
        <c:crosses val="autoZero"/>
        <c:auto val="1"/>
        <c:lblAlgn val="ctr"/>
        <c:lblOffset val="100"/>
        <c:noMultiLvlLbl val="0"/>
      </c:catAx>
      <c:valAx>
        <c:axId val="106599619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49144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Excel.xlsx]Pivot-Analysis!Sales by Product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'Pivot-Analysis'!$B$91</c:f>
              <c:strCache>
                <c:ptCount val="1"/>
                <c:pt idx="0">
                  <c:v>Total</c:v>
                </c:pt>
              </c:strCache>
            </c:strRef>
          </c:tx>
          <c:spPr>
            <a:solidFill>
              <a:schemeClr val="accent1"/>
            </a:solidFill>
            <a:ln>
              <a:noFill/>
            </a:ln>
            <a:effectLst/>
          </c:spPr>
          <c:invertIfNegative val="0"/>
          <c:cat>
            <c:strRef>
              <c:f>'Pivot-Analysis'!$A$92:$A$98</c:f>
              <c:strCache>
                <c:ptCount val="6"/>
                <c:pt idx="0">
                  <c:v>Paseo</c:v>
                </c:pt>
                <c:pt idx="1">
                  <c:v>VTT</c:v>
                </c:pt>
                <c:pt idx="2">
                  <c:v>Velo</c:v>
                </c:pt>
                <c:pt idx="3">
                  <c:v>Amarilla</c:v>
                </c:pt>
                <c:pt idx="4">
                  <c:v>Montana</c:v>
                </c:pt>
                <c:pt idx="5">
                  <c:v>Carretera</c:v>
                </c:pt>
              </c:strCache>
            </c:strRef>
          </c:cat>
          <c:val>
            <c:numRef>
              <c:f>'Pivot-Analysis'!$B$92:$B$98</c:f>
              <c:numCache>
                <c:formatCode>General</c:formatCode>
                <c:ptCount val="6"/>
                <c:pt idx="0">
                  <c:v>33011143.960000001</c:v>
                </c:pt>
                <c:pt idx="1">
                  <c:v>20511921.020000003</c:v>
                </c:pt>
                <c:pt idx="2">
                  <c:v>18250059.469999999</c:v>
                </c:pt>
                <c:pt idx="3">
                  <c:v>17747116.069999997</c:v>
                </c:pt>
                <c:pt idx="4">
                  <c:v>15390801.880000003</c:v>
                </c:pt>
                <c:pt idx="5">
                  <c:v>13815307.889999999</c:v>
                </c:pt>
              </c:numCache>
            </c:numRef>
          </c:val>
          <c:extLst>
            <c:ext xmlns:c16="http://schemas.microsoft.com/office/drawing/2014/chart" uri="{C3380CC4-5D6E-409C-BE32-E72D297353CC}">
              <c16:uniqueId val="{00000000-EDE2-4225-895F-93D42889DA01}"/>
            </c:ext>
          </c:extLst>
        </c:ser>
        <c:dLbls>
          <c:showLegendKey val="0"/>
          <c:showVal val="0"/>
          <c:showCatName val="0"/>
          <c:showSerName val="0"/>
          <c:showPercent val="0"/>
          <c:showBubbleSize val="0"/>
        </c:dLbls>
        <c:gapWidth val="219"/>
        <c:overlap val="-27"/>
        <c:axId val="1053032752"/>
        <c:axId val="1121990448"/>
      </c:barChart>
      <c:catAx>
        <c:axId val="105303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990448"/>
        <c:crosses val="autoZero"/>
        <c:auto val="1"/>
        <c:lblAlgn val="ctr"/>
        <c:lblOffset val="100"/>
        <c:noMultiLvlLbl val="0"/>
      </c:catAx>
      <c:valAx>
        <c:axId val="112199044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03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Excel.xlsx]Pivot-Analysis!Discount effect on Sales</c:name>
    <c:fmtId val="7"/>
  </c:pivotSource>
  <c:chart>
    <c:autoTitleDeleted val="1"/>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strRef>
              <c:f>'Pivot-Analysis'!$B$112</c:f>
              <c:strCache>
                <c:ptCount val="1"/>
                <c:pt idx="0">
                  <c:v>Total</c:v>
                </c:pt>
              </c:strCache>
            </c:strRef>
          </c:tx>
          <c:spPr>
            <a:solidFill>
              <a:schemeClr val="accent2"/>
            </a:solidFill>
            <a:ln>
              <a:noFill/>
            </a:ln>
            <a:effectLst/>
          </c:spPr>
          <c:invertIfNegative val="0"/>
          <c:cat>
            <c:strRef>
              <c:f>'Pivot-Analysis'!$A$113:$A$117</c:f>
              <c:strCache>
                <c:ptCount val="4"/>
                <c:pt idx="0">
                  <c:v>Medium</c:v>
                </c:pt>
                <c:pt idx="1">
                  <c:v>High</c:v>
                </c:pt>
                <c:pt idx="2">
                  <c:v>Low</c:v>
                </c:pt>
                <c:pt idx="3">
                  <c:v>None</c:v>
                </c:pt>
              </c:strCache>
            </c:strRef>
          </c:cat>
          <c:val>
            <c:numRef>
              <c:f>'Pivot-Analysis'!$B$113:$B$117</c:f>
              <c:numCache>
                <c:formatCode>General</c:formatCode>
                <c:ptCount val="4"/>
                <c:pt idx="0">
                  <c:v>38780430.840000004</c:v>
                </c:pt>
                <c:pt idx="1">
                  <c:v>37372486.740000002</c:v>
                </c:pt>
                <c:pt idx="2">
                  <c:v>34629778.709999986</c:v>
                </c:pt>
                <c:pt idx="3">
                  <c:v>7943654</c:v>
                </c:pt>
              </c:numCache>
            </c:numRef>
          </c:val>
          <c:extLst>
            <c:ext xmlns:c16="http://schemas.microsoft.com/office/drawing/2014/chart" uri="{C3380CC4-5D6E-409C-BE32-E72D297353CC}">
              <c16:uniqueId val="{00000000-09C1-461D-B461-1CE140FCE84D}"/>
            </c:ext>
          </c:extLst>
        </c:ser>
        <c:dLbls>
          <c:showLegendKey val="0"/>
          <c:showVal val="0"/>
          <c:showCatName val="0"/>
          <c:showSerName val="0"/>
          <c:showPercent val="0"/>
          <c:showBubbleSize val="0"/>
        </c:dLbls>
        <c:gapWidth val="219"/>
        <c:overlap val="-27"/>
        <c:axId val="1807854575"/>
        <c:axId val="1995255263"/>
      </c:barChart>
      <c:catAx>
        <c:axId val="180785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55263"/>
        <c:crosses val="autoZero"/>
        <c:auto val="1"/>
        <c:lblAlgn val="ctr"/>
        <c:lblOffset val="100"/>
        <c:noMultiLvlLbl val="0"/>
      </c:catAx>
      <c:valAx>
        <c:axId val="199525526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85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doughnutChart>
        <c:varyColors val="1"/>
        <c:ser>
          <c:idx val="0"/>
          <c:order val="0"/>
          <c:tx>
            <c:strRef>
              <c:f>'Pivot-Analysis'!$B$126</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4C6-477C-A6D6-7B03B88BF68F}"/>
              </c:ext>
            </c:extLst>
          </c:dPt>
          <c:dPt>
            <c:idx val="1"/>
            <c:bubble3D val="0"/>
            <c:spPr>
              <a:solidFill>
                <a:schemeClr val="accent2"/>
              </a:solidFill>
              <a:ln w="19050">
                <a:noFill/>
              </a:ln>
              <a:effectLst/>
            </c:spPr>
            <c:extLst>
              <c:ext xmlns:c16="http://schemas.microsoft.com/office/drawing/2014/chart" uri="{C3380CC4-5D6E-409C-BE32-E72D297353CC}">
                <c16:uniqueId val="{00000003-34C6-477C-A6D6-7B03B88BF68F}"/>
              </c:ext>
            </c:extLst>
          </c:dPt>
          <c:cat>
            <c:strRef>
              <c:f>'Pivot-Analysis'!$A$127:$A$129</c:f>
              <c:strCache>
                <c:ptCount val="2"/>
                <c:pt idx="0">
                  <c:v>Achived</c:v>
                </c:pt>
                <c:pt idx="1">
                  <c:v>Not Achived</c:v>
                </c:pt>
              </c:strCache>
            </c:strRef>
          </c:cat>
          <c:val>
            <c:numRef>
              <c:f>'Pivot-Analysis'!$B$127:$B$129</c:f>
              <c:numCache>
                <c:formatCode>General</c:formatCode>
                <c:ptCount val="2"/>
                <c:pt idx="0">
                  <c:v>11678741.709999993</c:v>
                </c:pt>
                <c:pt idx="1">
                  <c:v>5214960.58</c:v>
                </c:pt>
              </c:numCache>
            </c:numRef>
          </c:val>
          <c:extLst>
            <c:ext xmlns:c16="http://schemas.microsoft.com/office/drawing/2014/chart" uri="{C3380CC4-5D6E-409C-BE32-E72D297353CC}">
              <c16:uniqueId val="{00000000-22DB-4AD9-86E8-0432A230F63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Productwise Average Profit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'Pivot-Analysis'!$B$146</c:f>
              <c:strCache>
                <c:ptCount val="1"/>
                <c:pt idx="0">
                  <c:v>Total</c:v>
                </c:pt>
              </c:strCache>
            </c:strRef>
          </c:tx>
          <c:spPr>
            <a:solidFill>
              <a:schemeClr val="accent1"/>
            </a:solidFill>
            <a:ln>
              <a:noFill/>
            </a:ln>
            <a:effectLst/>
          </c:spPr>
          <c:invertIfNegative val="0"/>
          <c:cat>
            <c:strRef>
              <c:f>'Pivot-Analysis'!$A$147:$A$153</c:f>
              <c:strCache>
                <c:ptCount val="6"/>
                <c:pt idx="0">
                  <c:v>Carretera</c:v>
                </c:pt>
                <c:pt idx="1">
                  <c:v>Montana</c:v>
                </c:pt>
                <c:pt idx="2">
                  <c:v>Velo</c:v>
                </c:pt>
                <c:pt idx="3">
                  <c:v>Amarilla</c:v>
                </c:pt>
                <c:pt idx="4">
                  <c:v>VTT</c:v>
                </c:pt>
                <c:pt idx="5">
                  <c:v>Paseo</c:v>
                </c:pt>
              </c:strCache>
            </c:strRef>
          </c:cat>
          <c:val>
            <c:numRef>
              <c:f>'Pivot-Analysis'!$B$147:$B$153</c:f>
              <c:numCache>
                <c:formatCode>General</c:formatCode>
                <c:ptCount val="6"/>
                <c:pt idx="0">
                  <c:v>1826804.8900000001</c:v>
                </c:pt>
                <c:pt idx="1">
                  <c:v>2114754.88</c:v>
                </c:pt>
                <c:pt idx="2">
                  <c:v>2305992.4699999997</c:v>
                </c:pt>
                <c:pt idx="3">
                  <c:v>2814104.0700000008</c:v>
                </c:pt>
                <c:pt idx="4">
                  <c:v>3034608.0200000005</c:v>
                </c:pt>
                <c:pt idx="5">
                  <c:v>4797437.9600000009</c:v>
                </c:pt>
              </c:numCache>
            </c:numRef>
          </c:val>
          <c:extLst>
            <c:ext xmlns:c16="http://schemas.microsoft.com/office/drawing/2014/chart" uri="{C3380CC4-5D6E-409C-BE32-E72D297353CC}">
              <c16:uniqueId val="{00000000-D710-4543-8102-54CA8DB71A5F}"/>
            </c:ext>
          </c:extLst>
        </c:ser>
        <c:dLbls>
          <c:showLegendKey val="0"/>
          <c:showVal val="0"/>
          <c:showCatName val="0"/>
          <c:showSerName val="0"/>
          <c:showPercent val="0"/>
          <c:showBubbleSize val="0"/>
        </c:dLbls>
        <c:gapWidth val="206"/>
        <c:axId val="1964895583"/>
        <c:axId val="1995257343"/>
      </c:barChart>
      <c:catAx>
        <c:axId val="1964895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57343"/>
        <c:crosses val="autoZero"/>
        <c:auto val="1"/>
        <c:lblAlgn val="ctr"/>
        <c:lblOffset val="100"/>
        <c:noMultiLvlLbl val="0"/>
      </c:catAx>
      <c:valAx>
        <c:axId val="19952573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89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Excel.xlsx]Pivot-Analysis!PivotTable1</c:name>
    <c:fmtId val="1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stacked"/>
        <c:varyColors val="0"/>
        <c:ser>
          <c:idx val="0"/>
          <c:order val="0"/>
          <c:tx>
            <c:strRef>
              <c:f>'Pivot-Analysis'!$B$164:$B$165</c:f>
              <c:strCache>
                <c:ptCount val="1"/>
                <c:pt idx="0">
                  <c:v>Amarilla</c:v>
                </c:pt>
              </c:strCache>
            </c:strRef>
          </c:tx>
          <c:spPr>
            <a:solidFill>
              <a:schemeClr val="accent1"/>
            </a:solidFill>
            <a:ln>
              <a:noFill/>
            </a:ln>
            <a:effectLst/>
          </c:spPr>
          <c:invertIfNegative val="0"/>
          <c:cat>
            <c:strRef>
              <c:f>'Pivot-Analysis'!$A$166:$A$171</c:f>
              <c:strCache>
                <c:ptCount val="5"/>
                <c:pt idx="0">
                  <c:v>Canada</c:v>
                </c:pt>
                <c:pt idx="1">
                  <c:v>France</c:v>
                </c:pt>
                <c:pt idx="2">
                  <c:v>Germany</c:v>
                </c:pt>
                <c:pt idx="3">
                  <c:v>Mexico</c:v>
                </c:pt>
                <c:pt idx="4">
                  <c:v>United States of America</c:v>
                </c:pt>
              </c:strCache>
            </c:strRef>
          </c:cat>
          <c:val>
            <c:numRef>
              <c:f>'Pivot-Analysis'!$B$166:$B$171</c:f>
              <c:numCache>
                <c:formatCode>General</c:formatCode>
                <c:ptCount val="5"/>
                <c:pt idx="0">
                  <c:v>3855765.8800000004</c:v>
                </c:pt>
                <c:pt idx="1">
                  <c:v>4016427.1300000004</c:v>
                </c:pt>
                <c:pt idx="2">
                  <c:v>3960250.26</c:v>
                </c:pt>
                <c:pt idx="3">
                  <c:v>3077555.3899999997</c:v>
                </c:pt>
                <c:pt idx="4">
                  <c:v>2837117.41</c:v>
                </c:pt>
              </c:numCache>
            </c:numRef>
          </c:val>
          <c:extLst>
            <c:ext xmlns:c16="http://schemas.microsoft.com/office/drawing/2014/chart" uri="{C3380CC4-5D6E-409C-BE32-E72D297353CC}">
              <c16:uniqueId val="{00000000-09A5-4607-BCBE-237556048A08}"/>
            </c:ext>
          </c:extLst>
        </c:ser>
        <c:ser>
          <c:idx val="1"/>
          <c:order val="1"/>
          <c:tx>
            <c:strRef>
              <c:f>'Pivot-Analysis'!$C$164:$C$165</c:f>
              <c:strCache>
                <c:ptCount val="1"/>
                <c:pt idx="0">
                  <c:v>Carretera</c:v>
                </c:pt>
              </c:strCache>
            </c:strRef>
          </c:tx>
          <c:spPr>
            <a:solidFill>
              <a:schemeClr val="accent2"/>
            </a:solidFill>
            <a:ln>
              <a:noFill/>
            </a:ln>
            <a:effectLst/>
          </c:spPr>
          <c:invertIfNegative val="0"/>
          <c:cat>
            <c:strRef>
              <c:f>'Pivot-Analysis'!$A$166:$A$171</c:f>
              <c:strCache>
                <c:ptCount val="5"/>
                <c:pt idx="0">
                  <c:v>Canada</c:v>
                </c:pt>
                <c:pt idx="1">
                  <c:v>France</c:v>
                </c:pt>
                <c:pt idx="2">
                  <c:v>Germany</c:v>
                </c:pt>
                <c:pt idx="3">
                  <c:v>Mexico</c:v>
                </c:pt>
                <c:pt idx="4">
                  <c:v>United States of America</c:v>
                </c:pt>
              </c:strCache>
            </c:strRef>
          </c:cat>
          <c:val>
            <c:numRef>
              <c:f>'Pivot-Analysis'!$C$166:$C$171</c:f>
              <c:numCache>
                <c:formatCode>General</c:formatCode>
                <c:ptCount val="5"/>
                <c:pt idx="0">
                  <c:v>2610204.34</c:v>
                </c:pt>
                <c:pt idx="1">
                  <c:v>3423321.9</c:v>
                </c:pt>
                <c:pt idx="2">
                  <c:v>3062340.68</c:v>
                </c:pt>
                <c:pt idx="3">
                  <c:v>2879601.4199999995</c:v>
                </c:pt>
                <c:pt idx="4">
                  <c:v>1839839.5500000003</c:v>
                </c:pt>
              </c:numCache>
            </c:numRef>
          </c:val>
          <c:extLst>
            <c:ext xmlns:c16="http://schemas.microsoft.com/office/drawing/2014/chart" uri="{C3380CC4-5D6E-409C-BE32-E72D297353CC}">
              <c16:uniqueId val="{00000005-09A5-4607-BCBE-237556048A08}"/>
            </c:ext>
          </c:extLst>
        </c:ser>
        <c:ser>
          <c:idx val="2"/>
          <c:order val="2"/>
          <c:tx>
            <c:strRef>
              <c:f>'Pivot-Analysis'!$D$164:$D$165</c:f>
              <c:strCache>
                <c:ptCount val="1"/>
                <c:pt idx="0">
                  <c:v>Montana</c:v>
                </c:pt>
              </c:strCache>
            </c:strRef>
          </c:tx>
          <c:spPr>
            <a:solidFill>
              <a:schemeClr val="accent3"/>
            </a:solidFill>
            <a:ln>
              <a:noFill/>
            </a:ln>
            <a:effectLst/>
          </c:spPr>
          <c:invertIfNegative val="0"/>
          <c:cat>
            <c:strRef>
              <c:f>'Pivot-Analysis'!$A$166:$A$171</c:f>
              <c:strCache>
                <c:ptCount val="5"/>
                <c:pt idx="0">
                  <c:v>Canada</c:v>
                </c:pt>
                <c:pt idx="1">
                  <c:v>France</c:v>
                </c:pt>
                <c:pt idx="2">
                  <c:v>Germany</c:v>
                </c:pt>
                <c:pt idx="3">
                  <c:v>Mexico</c:v>
                </c:pt>
                <c:pt idx="4">
                  <c:v>United States of America</c:v>
                </c:pt>
              </c:strCache>
            </c:strRef>
          </c:cat>
          <c:val>
            <c:numRef>
              <c:f>'Pivot-Analysis'!$D$166:$D$171</c:f>
              <c:numCache>
                <c:formatCode>General</c:formatCode>
                <c:ptCount val="5"/>
                <c:pt idx="0">
                  <c:v>2711919.0300000003</c:v>
                </c:pt>
                <c:pt idx="1">
                  <c:v>3527382.37</c:v>
                </c:pt>
                <c:pt idx="2">
                  <c:v>3566044.37</c:v>
                </c:pt>
                <c:pt idx="3">
                  <c:v>1941329.3099999998</c:v>
                </c:pt>
                <c:pt idx="4">
                  <c:v>3644126.8</c:v>
                </c:pt>
              </c:numCache>
            </c:numRef>
          </c:val>
          <c:extLst>
            <c:ext xmlns:c16="http://schemas.microsoft.com/office/drawing/2014/chart" uri="{C3380CC4-5D6E-409C-BE32-E72D297353CC}">
              <c16:uniqueId val="{00000006-09A5-4607-BCBE-237556048A08}"/>
            </c:ext>
          </c:extLst>
        </c:ser>
        <c:ser>
          <c:idx val="3"/>
          <c:order val="3"/>
          <c:tx>
            <c:strRef>
              <c:f>'Pivot-Analysis'!$E$164:$E$165</c:f>
              <c:strCache>
                <c:ptCount val="1"/>
                <c:pt idx="0">
                  <c:v>Paseo</c:v>
                </c:pt>
              </c:strCache>
            </c:strRef>
          </c:tx>
          <c:spPr>
            <a:solidFill>
              <a:schemeClr val="accent4"/>
            </a:solidFill>
            <a:ln>
              <a:noFill/>
            </a:ln>
            <a:effectLst/>
          </c:spPr>
          <c:invertIfNegative val="0"/>
          <c:cat>
            <c:strRef>
              <c:f>'Pivot-Analysis'!$A$166:$A$171</c:f>
              <c:strCache>
                <c:ptCount val="5"/>
                <c:pt idx="0">
                  <c:v>Canada</c:v>
                </c:pt>
                <c:pt idx="1">
                  <c:v>France</c:v>
                </c:pt>
                <c:pt idx="2">
                  <c:v>Germany</c:v>
                </c:pt>
                <c:pt idx="3">
                  <c:v>Mexico</c:v>
                </c:pt>
                <c:pt idx="4">
                  <c:v>United States of America</c:v>
                </c:pt>
              </c:strCache>
            </c:strRef>
          </c:cat>
          <c:val>
            <c:numRef>
              <c:f>'Pivot-Analysis'!$E$166:$E$171</c:f>
              <c:numCache>
                <c:formatCode>General</c:formatCode>
                <c:ptCount val="5"/>
                <c:pt idx="0">
                  <c:v>7611520.9899999993</c:v>
                </c:pt>
                <c:pt idx="1">
                  <c:v>5597751.0600000005</c:v>
                </c:pt>
                <c:pt idx="2">
                  <c:v>5229814.7400000012</c:v>
                </c:pt>
                <c:pt idx="3">
                  <c:v>7627731.3900000006</c:v>
                </c:pt>
                <c:pt idx="4">
                  <c:v>6944325.7799999993</c:v>
                </c:pt>
              </c:numCache>
            </c:numRef>
          </c:val>
          <c:extLst>
            <c:ext xmlns:c16="http://schemas.microsoft.com/office/drawing/2014/chart" uri="{C3380CC4-5D6E-409C-BE32-E72D297353CC}">
              <c16:uniqueId val="{00000007-09A5-4607-BCBE-237556048A08}"/>
            </c:ext>
          </c:extLst>
        </c:ser>
        <c:ser>
          <c:idx val="4"/>
          <c:order val="4"/>
          <c:tx>
            <c:strRef>
              <c:f>'Pivot-Analysis'!$F$164:$F$165</c:f>
              <c:strCache>
                <c:ptCount val="1"/>
                <c:pt idx="0">
                  <c:v>Velo</c:v>
                </c:pt>
              </c:strCache>
            </c:strRef>
          </c:tx>
          <c:spPr>
            <a:solidFill>
              <a:schemeClr val="accent5"/>
            </a:solidFill>
            <a:ln>
              <a:noFill/>
            </a:ln>
            <a:effectLst/>
          </c:spPr>
          <c:invertIfNegative val="0"/>
          <c:cat>
            <c:strRef>
              <c:f>'Pivot-Analysis'!$A$166:$A$171</c:f>
              <c:strCache>
                <c:ptCount val="5"/>
                <c:pt idx="0">
                  <c:v>Canada</c:v>
                </c:pt>
                <c:pt idx="1">
                  <c:v>France</c:v>
                </c:pt>
                <c:pt idx="2">
                  <c:v>Germany</c:v>
                </c:pt>
                <c:pt idx="3">
                  <c:v>Mexico</c:v>
                </c:pt>
                <c:pt idx="4">
                  <c:v>United States of America</c:v>
                </c:pt>
              </c:strCache>
            </c:strRef>
          </c:cat>
          <c:val>
            <c:numRef>
              <c:f>'Pivot-Analysis'!$F$166:$F$171</c:f>
              <c:numCache>
                <c:formatCode>General</c:formatCode>
                <c:ptCount val="5"/>
                <c:pt idx="0">
                  <c:v>3329490.34</c:v>
                </c:pt>
                <c:pt idx="1">
                  <c:v>3978096.24</c:v>
                </c:pt>
                <c:pt idx="2">
                  <c:v>4392907</c:v>
                </c:pt>
                <c:pt idx="3">
                  <c:v>2250737.8899999997</c:v>
                </c:pt>
                <c:pt idx="4">
                  <c:v>4298828</c:v>
                </c:pt>
              </c:numCache>
            </c:numRef>
          </c:val>
          <c:extLst>
            <c:ext xmlns:c16="http://schemas.microsoft.com/office/drawing/2014/chart" uri="{C3380CC4-5D6E-409C-BE32-E72D297353CC}">
              <c16:uniqueId val="{00000008-09A5-4607-BCBE-237556048A08}"/>
            </c:ext>
          </c:extLst>
        </c:ser>
        <c:ser>
          <c:idx val="5"/>
          <c:order val="5"/>
          <c:tx>
            <c:strRef>
              <c:f>'Pivot-Analysis'!$G$164:$G$165</c:f>
              <c:strCache>
                <c:ptCount val="1"/>
                <c:pt idx="0">
                  <c:v>VTT</c:v>
                </c:pt>
              </c:strCache>
            </c:strRef>
          </c:tx>
          <c:spPr>
            <a:solidFill>
              <a:schemeClr val="accent6"/>
            </a:solidFill>
            <a:ln>
              <a:noFill/>
            </a:ln>
            <a:effectLst/>
          </c:spPr>
          <c:invertIfNegative val="0"/>
          <c:cat>
            <c:strRef>
              <c:f>'Pivot-Analysis'!$A$166:$A$171</c:f>
              <c:strCache>
                <c:ptCount val="5"/>
                <c:pt idx="0">
                  <c:v>Canada</c:v>
                </c:pt>
                <c:pt idx="1">
                  <c:v>France</c:v>
                </c:pt>
                <c:pt idx="2">
                  <c:v>Germany</c:v>
                </c:pt>
                <c:pt idx="3">
                  <c:v>Mexico</c:v>
                </c:pt>
                <c:pt idx="4">
                  <c:v>United States of America</c:v>
                </c:pt>
              </c:strCache>
            </c:strRef>
          </c:cat>
          <c:val>
            <c:numRef>
              <c:f>'Pivot-Analysis'!$G$166:$G$171</c:f>
              <c:numCache>
                <c:formatCode>General</c:formatCode>
                <c:ptCount val="5"/>
                <c:pt idx="0">
                  <c:v>4768754.3100000005</c:v>
                </c:pt>
                <c:pt idx="1">
                  <c:v>3811193.5899999994</c:v>
                </c:pt>
                <c:pt idx="2">
                  <c:v>3293983.77</c:v>
                </c:pt>
                <c:pt idx="3">
                  <c:v>3172396.7100000004</c:v>
                </c:pt>
                <c:pt idx="4">
                  <c:v>5465592.6399999997</c:v>
                </c:pt>
              </c:numCache>
            </c:numRef>
          </c:val>
          <c:extLst>
            <c:ext xmlns:c16="http://schemas.microsoft.com/office/drawing/2014/chart" uri="{C3380CC4-5D6E-409C-BE32-E72D297353CC}">
              <c16:uniqueId val="{00000009-09A5-4607-BCBE-237556048A08}"/>
            </c:ext>
          </c:extLst>
        </c:ser>
        <c:dLbls>
          <c:showLegendKey val="0"/>
          <c:showVal val="0"/>
          <c:showCatName val="0"/>
          <c:showSerName val="0"/>
          <c:showPercent val="0"/>
          <c:showBubbleSize val="0"/>
        </c:dLbls>
        <c:gapWidth val="150"/>
        <c:overlap val="100"/>
        <c:axId val="210084623"/>
        <c:axId val="81523487"/>
      </c:barChart>
      <c:catAx>
        <c:axId val="21008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23487"/>
        <c:crosses val="autoZero"/>
        <c:auto val="1"/>
        <c:lblAlgn val="ctr"/>
        <c:lblOffset val="100"/>
        <c:noMultiLvlLbl val="0"/>
      </c:catAx>
      <c:valAx>
        <c:axId val="81523487"/>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84623"/>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Excel.xlsx]Pivot-Analysis!PivotTable6</c:name>
    <c:fmtId val="1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'Pivot-Analysis'!$B$182</c:f>
              <c:strCache>
                <c:ptCount val="1"/>
                <c:pt idx="0">
                  <c:v>Sum of Profit</c:v>
                </c:pt>
              </c:strCache>
            </c:strRef>
          </c:tx>
          <c:spPr>
            <a:solidFill>
              <a:schemeClr val="accent1"/>
            </a:solidFill>
            <a:ln>
              <a:noFill/>
            </a:ln>
            <a:effectLst/>
          </c:spPr>
          <c:invertIfNegative val="0"/>
          <c:cat>
            <c:strRef>
              <c:f>'Pivot-Analysis'!$A$183:$A$188</c:f>
              <c:strCache>
                <c:ptCount val="5"/>
                <c:pt idx="0">
                  <c:v>Canada</c:v>
                </c:pt>
                <c:pt idx="1">
                  <c:v>France</c:v>
                </c:pt>
                <c:pt idx="2">
                  <c:v>Germany</c:v>
                </c:pt>
                <c:pt idx="3">
                  <c:v>Mexico</c:v>
                </c:pt>
                <c:pt idx="4">
                  <c:v>United States of America</c:v>
                </c:pt>
              </c:strCache>
            </c:strRef>
          </c:cat>
          <c:val>
            <c:numRef>
              <c:f>'Pivot-Analysis'!$B$183:$B$188</c:f>
              <c:numCache>
                <c:formatCode>General</c:formatCode>
                <c:ptCount val="5"/>
                <c:pt idx="0">
                  <c:v>3529228.89</c:v>
                </c:pt>
                <c:pt idx="1">
                  <c:v>3781020.79</c:v>
                </c:pt>
                <c:pt idx="2">
                  <c:v>3680388.8200000012</c:v>
                </c:pt>
                <c:pt idx="3">
                  <c:v>2907523.1100000003</c:v>
                </c:pt>
                <c:pt idx="4">
                  <c:v>2995540.6799999997</c:v>
                </c:pt>
              </c:numCache>
            </c:numRef>
          </c:val>
          <c:extLst>
            <c:ext xmlns:c16="http://schemas.microsoft.com/office/drawing/2014/chart" uri="{C3380CC4-5D6E-409C-BE32-E72D297353CC}">
              <c16:uniqueId val="{00000000-EDB4-4385-A921-255D0B004D54}"/>
            </c:ext>
          </c:extLst>
        </c:ser>
        <c:ser>
          <c:idx val="1"/>
          <c:order val="1"/>
          <c:tx>
            <c:strRef>
              <c:f>'Pivot-Analysis'!$C$182</c:f>
              <c:strCache>
                <c:ptCount val="1"/>
                <c:pt idx="0">
                  <c:v>Sum of Discounts</c:v>
                </c:pt>
              </c:strCache>
            </c:strRef>
          </c:tx>
          <c:spPr>
            <a:solidFill>
              <a:schemeClr val="accent2"/>
            </a:solidFill>
            <a:ln>
              <a:noFill/>
            </a:ln>
            <a:effectLst/>
          </c:spPr>
          <c:invertIfNegative val="0"/>
          <c:cat>
            <c:strRef>
              <c:f>'Pivot-Analysis'!$A$183:$A$188</c:f>
              <c:strCache>
                <c:ptCount val="5"/>
                <c:pt idx="0">
                  <c:v>Canada</c:v>
                </c:pt>
                <c:pt idx="1">
                  <c:v>France</c:v>
                </c:pt>
                <c:pt idx="2">
                  <c:v>Germany</c:v>
                </c:pt>
                <c:pt idx="3">
                  <c:v>Mexico</c:v>
                </c:pt>
                <c:pt idx="4">
                  <c:v>United States of America</c:v>
                </c:pt>
              </c:strCache>
            </c:strRef>
          </c:cat>
          <c:val>
            <c:numRef>
              <c:f>'Pivot-Analysis'!$C$183:$C$188</c:f>
              <c:numCache>
                <c:formatCode>General</c:formatCode>
                <c:ptCount val="5"/>
                <c:pt idx="0">
                  <c:v>2044508.6200000003</c:v>
                </c:pt>
                <c:pt idx="1">
                  <c:v>1727502.2299999995</c:v>
                </c:pt>
                <c:pt idx="2">
                  <c:v>1416126.6800000002</c:v>
                </c:pt>
                <c:pt idx="3">
                  <c:v>1777582.89</c:v>
                </c:pt>
                <c:pt idx="4">
                  <c:v>2239527.85</c:v>
                </c:pt>
              </c:numCache>
            </c:numRef>
          </c:val>
          <c:extLst>
            <c:ext xmlns:c16="http://schemas.microsoft.com/office/drawing/2014/chart" uri="{C3380CC4-5D6E-409C-BE32-E72D297353CC}">
              <c16:uniqueId val="{00000001-EDB4-4385-A921-255D0B004D54}"/>
            </c:ext>
          </c:extLst>
        </c:ser>
        <c:ser>
          <c:idx val="2"/>
          <c:order val="2"/>
          <c:tx>
            <c:strRef>
              <c:f>'Pivot-Analysis'!$D$182</c:f>
              <c:strCache>
                <c:ptCount val="1"/>
                <c:pt idx="0">
                  <c:v>Sum of Units Sold</c:v>
                </c:pt>
              </c:strCache>
            </c:strRef>
          </c:tx>
          <c:spPr>
            <a:solidFill>
              <a:schemeClr val="accent3"/>
            </a:solidFill>
            <a:ln>
              <a:noFill/>
            </a:ln>
            <a:effectLst/>
          </c:spPr>
          <c:invertIfNegative val="0"/>
          <c:cat>
            <c:strRef>
              <c:f>'Pivot-Analysis'!$A$183:$A$188</c:f>
              <c:strCache>
                <c:ptCount val="5"/>
                <c:pt idx="0">
                  <c:v>Canada</c:v>
                </c:pt>
                <c:pt idx="1">
                  <c:v>France</c:v>
                </c:pt>
                <c:pt idx="2">
                  <c:v>Germany</c:v>
                </c:pt>
                <c:pt idx="3">
                  <c:v>Mexico</c:v>
                </c:pt>
                <c:pt idx="4">
                  <c:v>United States of America</c:v>
                </c:pt>
              </c:strCache>
            </c:strRef>
          </c:cat>
          <c:val>
            <c:numRef>
              <c:f>'Pivot-Analysis'!$D$183:$D$188</c:f>
              <c:numCache>
                <c:formatCode>General</c:formatCode>
                <c:ptCount val="5"/>
                <c:pt idx="0">
                  <c:v>247428.5</c:v>
                </c:pt>
                <c:pt idx="1">
                  <c:v>240931</c:v>
                </c:pt>
                <c:pt idx="2">
                  <c:v>201494</c:v>
                </c:pt>
                <c:pt idx="3">
                  <c:v>203325</c:v>
                </c:pt>
                <c:pt idx="4">
                  <c:v>232627.5</c:v>
                </c:pt>
              </c:numCache>
            </c:numRef>
          </c:val>
          <c:extLst>
            <c:ext xmlns:c16="http://schemas.microsoft.com/office/drawing/2014/chart" uri="{C3380CC4-5D6E-409C-BE32-E72D297353CC}">
              <c16:uniqueId val="{00000000-72A3-4AB7-A70A-4E78871E9706}"/>
            </c:ext>
          </c:extLst>
        </c:ser>
        <c:ser>
          <c:idx val="3"/>
          <c:order val="3"/>
          <c:tx>
            <c:strRef>
              <c:f>'Pivot-Analysis'!$E$182</c:f>
              <c:strCache>
                <c:ptCount val="1"/>
                <c:pt idx="0">
                  <c:v>Average of Profit Ratio</c:v>
                </c:pt>
              </c:strCache>
            </c:strRef>
          </c:tx>
          <c:spPr>
            <a:solidFill>
              <a:schemeClr val="accent4"/>
            </a:solidFill>
            <a:ln>
              <a:noFill/>
            </a:ln>
            <a:effectLst/>
          </c:spPr>
          <c:invertIfNegative val="0"/>
          <c:cat>
            <c:strRef>
              <c:f>'Pivot-Analysis'!$A$183:$A$188</c:f>
              <c:strCache>
                <c:ptCount val="5"/>
                <c:pt idx="0">
                  <c:v>Canada</c:v>
                </c:pt>
                <c:pt idx="1">
                  <c:v>France</c:v>
                </c:pt>
                <c:pt idx="2">
                  <c:v>Germany</c:v>
                </c:pt>
                <c:pt idx="3">
                  <c:v>Mexico</c:v>
                </c:pt>
                <c:pt idx="4">
                  <c:v>United States of America</c:v>
                </c:pt>
              </c:strCache>
            </c:strRef>
          </c:cat>
          <c:val>
            <c:numRef>
              <c:f>'Pivot-Analysis'!$E$183:$E$188</c:f>
              <c:numCache>
                <c:formatCode>General</c:formatCode>
                <c:ptCount val="5"/>
                <c:pt idx="0">
                  <c:v>0.65245806079844726</c:v>
                </c:pt>
                <c:pt idx="1">
                  <c:v>0.65657962550567484</c:v>
                </c:pt>
                <c:pt idx="2">
                  <c:v>0.66395457875457853</c:v>
                </c:pt>
                <c:pt idx="3">
                  <c:v>0.6391113095238089</c:v>
                </c:pt>
                <c:pt idx="4">
                  <c:v>0.6542643849610642</c:v>
                </c:pt>
              </c:numCache>
            </c:numRef>
          </c:val>
          <c:extLst>
            <c:ext xmlns:c16="http://schemas.microsoft.com/office/drawing/2014/chart" uri="{C3380CC4-5D6E-409C-BE32-E72D297353CC}">
              <c16:uniqueId val="{00000001-72A3-4AB7-A70A-4E78871E9706}"/>
            </c:ext>
          </c:extLst>
        </c:ser>
        <c:dLbls>
          <c:showLegendKey val="0"/>
          <c:showVal val="0"/>
          <c:showCatName val="0"/>
          <c:showSerName val="0"/>
          <c:showPercent val="0"/>
          <c:showBubbleSize val="0"/>
        </c:dLbls>
        <c:gapWidth val="150"/>
        <c:axId val="461805487"/>
        <c:axId val="277922639"/>
      </c:barChart>
      <c:catAx>
        <c:axId val="46180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922639"/>
        <c:crosses val="autoZero"/>
        <c:auto val="1"/>
        <c:lblAlgn val="ctr"/>
        <c:lblOffset val="100"/>
        <c:noMultiLvlLbl val="0"/>
      </c:catAx>
      <c:valAx>
        <c:axId val="277922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80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Excel.xlsx]Pivot-Analysis!Sales-Profit-Discount</c:name>
    <c:fmtId val="10"/>
  </c:pivotSource>
  <c:chart>
    <c:autoTitleDeleted val="0"/>
    <c:pivotFmts>
      <c:pivotFmt>
        <c:idx val="0"/>
        <c:spPr>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pivotFmt>
    </c:pivotFmts>
    <c:plotArea>
      <c:layout/>
      <c:areaChart>
        <c:grouping val="standard"/>
        <c:varyColors val="0"/>
        <c:ser>
          <c:idx val="1"/>
          <c:order val="1"/>
          <c:tx>
            <c:strRef>
              <c:f>'Pivot-Analysis'!$C$229</c:f>
              <c:strCache>
                <c:ptCount val="1"/>
                <c:pt idx="0">
                  <c:v>Sum of Profit</c:v>
                </c:pt>
              </c:strCache>
            </c:strRef>
          </c:tx>
          <c:spPr>
            <a:solidFill>
              <a:schemeClr val="accent2"/>
            </a:solidFill>
            <a:ln>
              <a:noFill/>
            </a:ln>
            <a:effectLst/>
          </c:spPr>
          <c:cat>
            <c:multiLvlStrRef>
              <c:f>'Pivot-Analysis'!$A$230:$A$248</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'Pivot-Analysis'!$C$230:$C$248</c:f>
              <c:numCache>
                <c:formatCode>General</c:formatCode>
                <c:ptCount val="16"/>
                <c:pt idx="0">
                  <c:v>763603.03</c:v>
                </c:pt>
                <c:pt idx="1">
                  <c:v>1657795.0999999999</c:v>
                </c:pt>
                <c:pt idx="2">
                  <c:v>765502.3</c:v>
                </c:pt>
                <c:pt idx="3">
                  <c:v>691564.08000000007</c:v>
                </c:pt>
                <c:pt idx="4">
                  <c:v>814028.69000000006</c:v>
                </c:pt>
                <c:pt idx="5">
                  <c:v>1148547.3899999999</c:v>
                </c:pt>
                <c:pt idx="6">
                  <c:v>669866.87</c:v>
                </c:pt>
                <c:pt idx="7">
                  <c:v>929984.58</c:v>
                </c:pt>
                <c:pt idx="8">
                  <c:v>828640.06</c:v>
                </c:pt>
                <c:pt idx="9">
                  <c:v>1473753.8199999998</c:v>
                </c:pt>
                <c:pt idx="10">
                  <c:v>923865.68999999983</c:v>
                </c:pt>
                <c:pt idx="11">
                  <c:v>791066.42</c:v>
                </c:pt>
                <c:pt idx="12">
                  <c:v>1023132.24</c:v>
                </c:pt>
                <c:pt idx="13">
                  <c:v>1781985.9200000004</c:v>
                </c:pt>
                <c:pt idx="14">
                  <c:v>604600.19999999995</c:v>
                </c:pt>
                <c:pt idx="15">
                  <c:v>2025765.9000000001</c:v>
                </c:pt>
              </c:numCache>
            </c:numRef>
          </c:val>
          <c:extLst>
            <c:ext xmlns:c16="http://schemas.microsoft.com/office/drawing/2014/chart" uri="{C3380CC4-5D6E-409C-BE32-E72D297353CC}">
              <c16:uniqueId val="{00000001-784C-4895-B41D-A19506FAB66C}"/>
            </c:ext>
          </c:extLst>
        </c:ser>
        <c:dLbls>
          <c:showLegendKey val="0"/>
          <c:showVal val="0"/>
          <c:showCatName val="0"/>
          <c:showSerName val="0"/>
          <c:showPercent val="0"/>
          <c:showBubbleSize val="0"/>
        </c:dLbls>
        <c:axId val="62388608"/>
        <c:axId val="160986928"/>
      </c:areaChart>
      <c:barChart>
        <c:barDir val="col"/>
        <c:grouping val="clustered"/>
        <c:varyColors val="0"/>
        <c:ser>
          <c:idx val="2"/>
          <c:order val="2"/>
          <c:tx>
            <c:strRef>
              <c:f>'Pivot-Analysis'!$D$229</c:f>
              <c:strCache>
                <c:ptCount val="1"/>
                <c:pt idx="0">
                  <c:v>Sum of Discounts</c:v>
                </c:pt>
              </c:strCache>
            </c:strRef>
          </c:tx>
          <c:spPr>
            <a:solidFill>
              <a:schemeClr val="bg1"/>
            </a:solidFill>
            <a:ln>
              <a:noFill/>
            </a:ln>
            <a:effectLst/>
          </c:spPr>
          <c:invertIfNegative val="0"/>
          <c:cat>
            <c:multiLvlStrRef>
              <c:f>'Pivot-Analysis'!$A$230:$A$248</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'Pivot-Analysis'!$D$230:$D$248</c:f>
              <c:numCache>
                <c:formatCode>General</c:formatCode>
                <c:ptCount val="16"/>
                <c:pt idx="0">
                  <c:v>245735.97</c:v>
                </c:pt>
                <c:pt idx="1">
                  <c:v>533076.89999999991</c:v>
                </c:pt>
                <c:pt idx="2">
                  <c:v>900134.7</c:v>
                </c:pt>
                <c:pt idx="3">
                  <c:v>466583.92</c:v>
                </c:pt>
                <c:pt idx="4">
                  <c:v>699641.83000000007</c:v>
                </c:pt>
                <c:pt idx="5">
                  <c:v>401669.61</c:v>
                </c:pt>
                <c:pt idx="6">
                  <c:v>537166.13</c:v>
                </c:pt>
                <c:pt idx="7">
                  <c:v>464617.43999999994</c:v>
                </c:pt>
                <c:pt idx="8">
                  <c:v>557699.93999999994</c:v>
                </c:pt>
                <c:pt idx="9">
                  <c:v>750078.17999999993</c:v>
                </c:pt>
                <c:pt idx="10">
                  <c:v>730107.33</c:v>
                </c:pt>
                <c:pt idx="11">
                  <c:v>461336.58</c:v>
                </c:pt>
                <c:pt idx="12">
                  <c:v>446619.75999999995</c:v>
                </c:pt>
                <c:pt idx="13">
                  <c:v>937604.08</c:v>
                </c:pt>
                <c:pt idx="14">
                  <c:v>563695.80000000005</c:v>
                </c:pt>
                <c:pt idx="15">
                  <c:v>509480.10000000003</c:v>
                </c:pt>
              </c:numCache>
            </c:numRef>
          </c:val>
          <c:extLst>
            <c:ext xmlns:c16="http://schemas.microsoft.com/office/drawing/2014/chart" uri="{C3380CC4-5D6E-409C-BE32-E72D297353CC}">
              <c16:uniqueId val="{00000002-784C-4895-B41D-A19506FAB66C}"/>
            </c:ext>
          </c:extLst>
        </c:ser>
        <c:dLbls>
          <c:showLegendKey val="0"/>
          <c:showVal val="0"/>
          <c:showCatName val="0"/>
          <c:showSerName val="0"/>
          <c:showPercent val="0"/>
          <c:showBubbleSize val="0"/>
        </c:dLbls>
        <c:gapWidth val="219"/>
        <c:axId val="62388608"/>
        <c:axId val="160986928"/>
      </c:barChart>
      <c:lineChart>
        <c:grouping val="standard"/>
        <c:varyColors val="0"/>
        <c:ser>
          <c:idx val="0"/>
          <c:order val="0"/>
          <c:tx>
            <c:strRef>
              <c:f>'Pivot-Analysis'!$B$229</c:f>
              <c:strCache>
                <c:ptCount val="1"/>
                <c:pt idx="0">
                  <c:v>Sum of Sales</c:v>
                </c:pt>
              </c:strCache>
            </c:strRef>
          </c:tx>
          <c:spPr>
            <a:ln w="28575" cap="rnd">
              <a:solidFill>
                <a:schemeClr val="accent1"/>
              </a:solidFill>
              <a:round/>
            </a:ln>
            <a:effectLst/>
          </c:spPr>
          <c:marker>
            <c:symbol val="none"/>
          </c:marker>
          <c:cat>
            <c:multiLvlStrRef>
              <c:f>'Pivot-Analysis'!$A$230:$A$248</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'Pivot-Analysis'!$B$230:$B$248</c:f>
              <c:numCache>
                <c:formatCode>General</c:formatCode>
                <c:ptCount val="16"/>
                <c:pt idx="0">
                  <c:v>4484000.03</c:v>
                </c:pt>
                <c:pt idx="1">
                  <c:v>9295611.0999999996</c:v>
                </c:pt>
                <c:pt idx="2">
                  <c:v>7267203.2999999989</c:v>
                </c:pt>
                <c:pt idx="3">
                  <c:v>5368441.08</c:v>
                </c:pt>
                <c:pt idx="4">
                  <c:v>6607761.6899999995</c:v>
                </c:pt>
                <c:pt idx="5">
                  <c:v>7297531.3900000006</c:v>
                </c:pt>
                <c:pt idx="6">
                  <c:v>5586859.8699999992</c:v>
                </c:pt>
                <c:pt idx="7">
                  <c:v>6964775.0800000001</c:v>
                </c:pt>
                <c:pt idx="8">
                  <c:v>6210211.0599999996</c:v>
                </c:pt>
                <c:pt idx="9">
                  <c:v>9518893.8200000003</c:v>
                </c:pt>
                <c:pt idx="10">
                  <c:v>8102920.1900000013</c:v>
                </c:pt>
                <c:pt idx="11">
                  <c:v>5864622.4199999999</c:v>
                </c:pt>
                <c:pt idx="12">
                  <c:v>6398697.2399999993</c:v>
                </c:pt>
                <c:pt idx="13">
                  <c:v>12375819.92</c:v>
                </c:pt>
                <c:pt idx="14">
                  <c:v>5384214.1999999993</c:v>
                </c:pt>
                <c:pt idx="15">
                  <c:v>11998787.899999999</c:v>
                </c:pt>
              </c:numCache>
            </c:numRef>
          </c:val>
          <c:smooth val="0"/>
          <c:extLst>
            <c:ext xmlns:c16="http://schemas.microsoft.com/office/drawing/2014/chart" uri="{C3380CC4-5D6E-409C-BE32-E72D297353CC}">
              <c16:uniqueId val="{00000000-784C-4895-B41D-A19506FAB66C}"/>
            </c:ext>
          </c:extLst>
        </c:ser>
        <c:dLbls>
          <c:showLegendKey val="0"/>
          <c:showVal val="0"/>
          <c:showCatName val="0"/>
          <c:showSerName val="0"/>
          <c:showPercent val="0"/>
          <c:showBubbleSize val="0"/>
        </c:dLbls>
        <c:marker val="1"/>
        <c:smooth val="0"/>
        <c:axId val="62388608"/>
        <c:axId val="160986928"/>
      </c:lineChart>
      <c:catAx>
        <c:axId val="6238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86928"/>
        <c:crosses val="autoZero"/>
        <c:auto val="1"/>
        <c:lblAlgn val="ctr"/>
        <c:lblOffset val="100"/>
        <c:noMultiLvlLbl val="0"/>
      </c:catAx>
      <c:valAx>
        <c:axId val="16098692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8860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Excel.xlsx]Pivot-Analysis!PivotTable9</c:name>
    <c:fmtId val="1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'Pivot-Analysis'!$B$257</c:f>
              <c:strCache>
                <c:ptCount val="1"/>
                <c:pt idx="0">
                  <c:v>Sum of Sales</c:v>
                </c:pt>
              </c:strCache>
            </c:strRef>
          </c:tx>
          <c:spPr>
            <a:solidFill>
              <a:schemeClr val="accent1"/>
            </a:solidFill>
            <a:ln>
              <a:noFill/>
            </a:ln>
            <a:effectLst/>
          </c:spPr>
          <c:invertIfNegative val="0"/>
          <c:cat>
            <c:strRef>
              <c:f>'Pivot-Analysis'!$A$258:$A$264</c:f>
              <c:strCache>
                <c:ptCount val="6"/>
                <c:pt idx="0">
                  <c:v>Amarilla</c:v>
                </c:pt>
                <c:pt idx="1">
                  <c:v>Carretera</c:v>
                </c:pt>
                <c:pt idx="2">
                  <c:v>Montana</c:v>
                </c:pt>
                <c:pt idx="3">
                  <c:v>Paseo</c:v>
                </c:pt>
                <c:pt idx="4">
                  <c:v>Velo</c:v>
                </c:pt>
                <c:pt idx="5">
                  <c:v>VTT</c:v>
                </c:pt>
              </c:strCache>
            </c:strRef>
          </c:cat>
          <c:val>
            <c:numRef>
              <c:f>'Pivot-Analysis'!$B$258:$B$264</c:f>
              <c:numCache>
                <c:formatCode>General</c:formatCode>
                <c:ptCount val="6"/>
                <c:pt idx="0">
                  <c:v>17747116.069999997</c:v>
                </c:pt>
                <c:pt idx="1">
                  <c:v>13815307.889999999</c:v>
                </c:pt>
                <c:pt idx="2">
                  <c:v>15390801.880000003</c:v>
                </c:pt>
                <c:pt idx="3">
                  <c:v>33011143.960000001</c:v>
                </c:pt>
                <c:pt idx="4">
                  <c:v>18250059.469999999</c:v>
                </c:pt>
                <c:pt idx="5">
                  <c:v>20511921.020000003</c:v>
                </c:pt>
              </c:numCache>
            </c:numRef>
          </c:val>
          <c:extLst>
            <c:ext xmlns:c16="http://schemas.microsoft.com/office/drawing/2014/chart" uri="{C3380CC4-5D6E-409C-BE32-E72D297353CC}">
              <c16:uniqueId val="{00000000-22AE-4155-9161-97A646EBA369}"/>
            </c:ext>
          </c:extLst>
        </c:ser>
        <c:ser>
          <c:idx val="1"/>
          <c:order val="1"/>
          <c:tx>
            <c:strRef>
              <c:f>'Pivot-Analysis'!$C$257</c:f>
              <c:strCache>
                <c:ptCount val="1"/>
                <c:pt idx="0">
                  <c:v>Sum of Discounts</c:v>
                </c:pt>
              </c:strCache>
            </c:strRef>
          </c:tx>
          <c:spPr>
            <a:solidFill>
              <a:schemeClr val="accent2"/>
            </a:solidFill>
            <a:ln>
              <a:noFill/>
            </a:ln>
            <a:effectLst/>
          </c:spPr>
          <c:invertIfNegative val="0"/>
          <c:cat>
            <c:strRef>
              <c:f>'Pivot-Analysis'!$A$258:$A$264</c:f>
              <c:strCache>
                <c:ptCount val="6"/>
                <c:pt idx="0">
                  <c:v>Amarilla</c:v>
                </c:pt>
                <c:pt idx="1">
                  <c:v>Carretera</c:v>
                </c:pt>
                <c:pt idx="2">
                  <c:v>Montana</c:v>
                </c:pt>
                <c:pt idx="3">
                  <c:v>Paseo</c:v>
                </c:pt>
                <c:pt idx="4">
                  <c:v>Velo</c:v>
                </c:pt>
                <c:pt idx="5">
                  <c:v>VTT</c:v>
                </c:pt>
              </c:strCache>
            </c:strRef>
          </c:cat>
          <c:val>
            <c:numRef>
              <c:f>'Pivot-Analysis'!$C$258:$C$264</c:f>
              <c:numCache>
                <c:formatCode>General</c:formatCode>
                <c:ptCount val="6"/>
                <c:pt idx="0">
                  <c:v>1290163.4500000004</c:v>
                </c:pt>
                <c:pt idx="1">
                  <c:v>1122212.6200000001</c:v>
                </c:pt>
                <c:pt idx="2">
                  <c:v>1159032.6200000001</c:v>
                </c:pt>
                <c:pt idx="3">
                  <c:v>2600518.0599999996</c:v>
                </c:pt>
                <c:pt idx="4">
                  <c:v>1576709.04</c:v>
                </c:pt>
                <c:pt idx="5">
                  <c:v>1456612.48</c:v>
                </c:pt>
              </c:numCache>
            </c:numRef>
          </c:val>
          <c:extLst>
            <c:ext xmlns:c16="http://schemas.microsoft.com/office/drawing/2014/chart" uri="{C3380CC4-5D6E-409C-BE32-E72D297353CC}">
              <c16:uniqueId val="{00000001-22AE-4155-9161-97A646EBA369}"/>
            </c:ext>
          </c:extLst>
        </c:ser>
        <c:dLbls>
          <c:showLegendKey val="0"/>
          <c:showVal val="0"/>
          <c:showCatName val="0"/>
          <c:showSerName val="0"/>
          <c:showPercent val="0"/>
          <c:showBubbleSize val="0"/>
        </c:dLbls>
        <c:gapWidth val="219"/>
        <c:overlap val="-27"/>
        <c:axId val="197359120"/>
        <c:axId val="188421536"/>
      </c:barChart>
      <c:catAx>
        <c:axId val="19735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421536"/>
        <c:crosses val="autoZero"/>
        <c:auto val="1"/>
        <c:lblAlgn val="ctr"/>
        <c:lblOffset val="100"/>
        <c:noMultiLvlLbl val="0"/>
      </c:catAx>
      <c:valAx>
        <c:axId val="188421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5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Excel.xlsx]Pivot-Analysis!DB_Sales</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'Pivot-Analysis'!$B$273</c:f>
              <c:strCache>
                <c:ptCount val="1"/>
                <c:pt idx="0">
                  <c:v>Total</c:v>
                </c:pt>
              </c:strCache>
            </c:strRef>
          </c:tx>
          <c:spPr>
            <a:solidFill>
              <a:schemeClr val="accent1"/>
            </a:solidFill>
            <a:ln>
              <a:noFill/>
            </a:ln>
            <a:effectLst/>
          </c:spPr>
          <c:invertIfNegative val="0"/>
          <c:cat>
            <c:strRef>
              <c:f>'Pivot-Analysis'!$A$274:$A$278</c:f>
              <c:strCache>
                <c:ptCount val="4"/>
                <c:pt idx="0">
                  <c:v>Medium</c:v>
                </c:pt>
                <c:pt idx="1">
                  <c:v>High</c:v>
                </c:pt>
                <c:pt idx="2">
                  <c:v>Low</c:v>
                </c:pt>
                <c:pt idx="3">
                  <c:v>None</c:v>
                </c:pt>
              </c:strCache>
            </c:strRef>
          </c:cat>
          <c:val>
            <c:numRef>
              <c:f>'Pivot-Analysis'!$B$274:$B$278</c:f>
              <c:numCache>
                <c:formatCode>General</c:formatCode>
                <c:ptCount val="4"/>
                <c:pt idx="0">
                  <c:v>38780430.840000004</c:v>
                </c:pt>
                <c:pt idx="1">
                  <c:v>37372486.740000002</c:v>
                </c:pt>
                <c:pt idx="2">
                  <c:v>34629778.709999986</c:v>
                </c:pt>
                <c:pt idx="3">
                  <c:v>7943654</c:v>
                </c:pt>
              </c:numCache>
            </c:numRef>
          </c:val>
          <c:extLst>
            <c:ext xmlns:c16="http://schemas.microsoft.com/office/drawing/2014/chart" uri="{C3380CC4-5D6E-409C-BE32-E72D297353CC}">
              <c16:uniqueId val="{00000000-9510-4683-A7EA-8411F3BEAA53}"/>
            </c:ext>
          </c:extLst>
        </c:ser>
        <c:dLbls>
          <c:showLegendKey val="0"/>
          <c:showVal val="0"/>
          <c:showCatName val="0"/>
          <c:showSerName val="0"/>
          <c:showPercent val="0"/>
          <c:showBubbleSize val="0"/>
        </c:dLbls>
        <c:gapWidth val="219"/>
        <c:overlap val="-27"/>
        <c:axId val="203954720"/>
        <c:axId val="196542624"/>
      </c:barChart>
      <c:catAx>
        <c:axId val="20395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42624"/>
        <c:crosses val="autoZero"/>
        <c:auto val="1"/>
        <c:lblAlgn val="ctr"/>
        <c:lblOffset val="100"/>
        <c:noMultiLvlLbl val="0"/>
      </c:catAx>
      <c:valAx>
        <c:axId val="19654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5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Excel.xlsx]Pivot-Analysis!ProductProfit</c:name>
    <c:fmtId val="1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'Pivot-Analysis'!$B$286</c:f>
              <c:strCache>
                <c:ptCount val="1"/>
                <c:pt idx="0">
                  <c:v>Total</c:v>
                </c:pt>
              </c:strCache>
            </c:strRef>
          </c:tx>
          <c:spPr>
            <a:solidFill>
              <a:schemeClr val="accent1"/>
            </a:solidFill>
            <a:ln>
              <a:noFill/>
            </a:ln>
            <a:effectLst/>
          </c:spPr>
          <c:invertIfNegative val="0"/>
          <c:cat>
            <c:strRef>
              <c:f>'Pivot-Analysis'!$A$287:$A$293</c:f>
              <c:strCache>
                <c:ptCount val="6"/>
                <c:pt idx="0">
                  <c:v>Carretera</c:v>
                </c:pt>
                <c:pt idx="1">
                  <c:v>Montana</c:v>
                </c:pt>
                <c:pt idx="2">
                  <c:v>Velo</c:v>
                </c:pt>
                <c:pt idx="3">
                  <c:v>Amarilla</c:v>
                </c:pt>
                <c:pt idx="4">
                  <c:v>VTT</c:v>
                </c:pt>
                <c:pt idx="5">
                  <c:v>Paseo</c:v>
                </c:pt>
              </c:strCache>
            </c:strRef>
          </c:cat>
          <c:val>
            <c:numRef>
              <c:f>'Pivot-Analysis'!$B$287:$B$293</c:f>
              <c:numCache>
                <c:formatCode>General</c:formatCode>
                <c:ptCount val="6"/>
                <c:pt idx="0">
                  <c:v>1826804.8900000001</c:v>
                </c:pt>
                <c:pt idx="1">
                  <c:v>2114754.88</c:v>
                </c:pt>
                <c:pt idx="2">
                  <c:v>2305992.4699999997</c:v>
                </c:pt>
                <c:pt idx="3">
                  <c:v>2814104.0700000008</c:v>
                </c:pt>
                <c:pt idx="4">
                  <c:v>3034608.0200000005</c:v>
                </c:pt>
                <c:pt idx="5">
                  <c:v>4797437.9600000009</c:v>
                </c:pt>
              </c:numCache>
            </c:numRef>
          </c:val>
          <c:extLst>
            <c:ext xmlns:c16="http://schemas.microsoft.com/office/drawing/2014/chart" uri="{C3380CC4-5D6E-409C-BE32-E72D297353CC}">
              <c16:uniqueId val="{00000000-399A-4429-8361-1135ACB8D53F}"/>
            </c:ext>
          </c:extLst>
        </c:ser>
        <c:dLbls>
          <c:showLegendKey val="0"/>
          <c:showVal val="0"/>
          <c:showCatName val="0"/>
          <c:showSerName val="0"/>
          <c:showPercent val="0"/>
          <c:showBubbleSize val="0"/>
        </c:dLbls>
        <c:gapWidth val="219"/>
        <c:axId val="198917424"/>
        <c:axId val="197266384"/>
      </c:barChart>
      <c:catAx>
        <c:axId val="19891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66384"/>
        <c:crosses val="autoZero"/>
        <c:auto val="1"/>
        <c:lblAlgn val="ctr"/>
        <c:lblOffset val="100"/>
        <c:noMultiLvlLbl val="0"/>
      </c:catAx>
      <c:valAx>
        <c:axId val="197266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7424"/>
        <c:crosses val="autoZero"/>
        <c:crossBetween val="between"/>
        <c:dispUnits>
          <c:builtInUnit val="millions"/>
          <c:dispUnitsLbl>
            <c:layout>
              <c:manualLayout>
                <c:xMode val="edge"/>
                <c:yMode val="edge"/>
                <c:x val="0.41523404255319152"/>
                <c:y val="0.86309711286089252"/>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Excel.xlsx]Pivot-Analysis!CountryProfit</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'Pivot-Analysis'!$B$300</c:f>
              <c:strCache>
                <c:ptCount val="1"/>
                <c:pt idx="0">
                  <c:v>Total</c:v>
                </c:pt>
              </c:strCache>
            </c:strRef>
          </c:tx>
          <c:spPr>
            <a:solidFill>
              <a:schemeClr val="accent1"/>
            </a:solidFill>
            <a:ln>
              <a:noFill/>
            </a:ln>
            <a:effectLst/>
          </c:spPr>
          <c:invertIfNegative val="0"/>
          <c:cat>
            <c:strRef>
              <c:f>'Pivot-Analysis'!$A$301:$A$306</c:f>
              <c:strCache>
                <c:ptCount val="5"/>
                <c:pt idx="0">
                  <c:v>France</c:v>
                </c:pt>
                <c:pt idx="1">
                  <c:v>Germany</c:v>
                </c:pt>
                <c:pt idx="2">
                  <c:v>Canada</c:v>
                </c:pt>
                <c:pt idx="3">
                  <c:v>United States of America</c:v>
                </c:pt>
                <c:pt idx="4">
                  <c:v>Mexico</c:v>
                </c:pt>
              </c:strCache>
            </c:strRef>
          </c:cat>
          <c:val>
            <c:numRef>
              <c:f>'Pivot-Analysis'!$B$301:$B$306</c:f>
              <c:numCache>
                <c:formatCode>General</c:formatCode>
                <c:ptCount val="5"/>
                <c:pt idx="0">
                  <c:v>3781020.79</c:v>
                </c:pt>
                <c:pt idx="1">
                  <c:v>3680388.8200000012</c:v>
                </c:pt>
                <c:pt idx="2">
                  <c:v>3529228.89</c:v>
                </c:pt>
                <c:pt idx="3">
                  <c:v>2995540.6799999997</c:v>
                </c:pt>
                <c:pt idx="4">
                  <c:v>2907523.1100000003</c:v>
                </c:pt>
              </c:numCache>
            </c:numRef>
          </c:val>
          <c:extLst>
            <c:ext xmlns:c16="http://schemas.microsoft.com/office/drawing/2014/chart" uri="{C3380CC4-5D6E-409C-BE32-E72D297353CC}">
              <c16:uniqueId val="{00000000-F0DC-4367-BB31-10D697334A08}"/>
            </c:ext>
          </c:extLst>
        </c:ser>
        <c:dLbls>
          <c:showLegendKey val="0"/>
          <c:showVal val="0"/>
          <c:showCatName val="0"/>
          <c:showSerName val="0"/>
          <c:showPercent val="0"/>
          <c:showBubbleSize val="0"/>
        </c:dLbls>
        <c:gapWidth val="219"/>
        <c:overlap val="-27"/>
        <c:axId val="203962528"/>
        <c:axId val="266440752"/>
      </c:barChart>
      <c:catAx>
        <c:axId val="20396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440752"/>
        <c:crosses val="autoZero"/>
        <c:auto val="1"/>
        <c:lblAlgn val="ctr"/>
        <c:lblOffset val="100"/>
        <c:noMultiLvlLbl val="0"/>
      </c:catAx>
      <c:valAx>
        <c:axId val="266440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6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Excel.xlsx]Pivot-Analysis!CountryPR</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'Pivot-Analysis'!$B$314</c:f>
              <c:strCache>
                <c:ptCount val="1"/>
                <c:pt idx="0">
                  <c:v>Total</c:v>
                </c:pt>
              </c:strCache>
            </c:strRef>
          </c:tx>
          <c:spPr>
            <a:solidFill>
              <a:schemeClr val="accent1"/>
            </a:solidFill>
            <a:ln>
              <a:noFill/>
            </a:ln>
            <a:effectLst/>
          </c:spPr>
          <c:invertIfNegative val="0"/>
          <c:cat>
            <c:strRef>
              <c:f>'Pivot-Analysis'!$A$315:$A$320</c:f>
              <c:strCache>
                <c:ptCount val="5"/>
                <c:pt idx="0">
                  <c:v>Germany</c:v>
                </c:pt>
                <c:pt idx="1">
                  <c:v>France</c:v>
                </c:pt>
                <c:pt idx="2">
                  <c:v>United States of America</c:v>
                </c:pt>
                <c:pt idx="3">
                  <c:v>Canada</c:v>
                </c:pt>
                <c:pt idx="4">
                  <c:v>Mexico</c:v>
                </c:pt>
              </c:strCache>
            </c:strRef>
          </c:cat>
          <c:val>
            <c:numRef>
              <c:f>'Pivot-Analysis'!$B$315:$B$320</c:f>
              <c:numCache>
                <c:formatCode>General</c:formatCode>
                <c:ptCount val="5"/>
                <c:pt idx="0">
                  <c:v>92.953641025640991</c:v>
                </c:pt>
                <c:pt idx="1">
                  <c:v>91.921147570794474</c:v>
                </c:pt>
                <c:pt idx="2">
                  <c:v>91.597013894548994</c:v>
                </c:pt>
                <c:pt idx="3">
                  <c:v>91.344128511782614</c:v>
                </c:pt>
                <c:pt idx="4">
                  <c:v>89.475583333333248</c:v>
                </c:pt>
              </c:numCache>
            </c:numRef>
          </c:val>
          <c:extLst>
            <c:ext xmlns:c16="http://schemas.microsoft.com/office/drawing/2014/chart" uri="{C3380CC4-5D6E-409C-BE32-E72D297353CC}">
              <c16:uniqueId val="{00000000-565D-4C60-890C-F30CC58CA49E}"/>
            </c:ext>
          </c:extLst>
        </c:ser>
        <c:dLbls>
          <c:showLegendKey val="0"/>
          <c:showVal val="0"/>
          <c:showCatName val="0"/>
          <c:showSerName val="0"/>
          <c:showPercent val="0"/>
          <c:showBubbleSize val="0"/>
        </c:dLbls>
        <c:gapWidth val="219"/>
        <c:overlap val="-27"/>
        <c:axId val="264187584"/>
        <c:axId val="163105264"/>
      </c:barChart>
      <c:catAx>
        <c:axId val="26418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05264"/>
        <c:crosses val="autoZero"/>
        <c:auto val="1"/>
        <c:lblAlgn val="ctr"/>
        <c:lblOffset val="100"/>
        <c:noMultiLvlLbl val="0"/>
      </c:catAx>
      <c:valAx>
        <c:axId val="163105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18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Excel.xlsx]Pivot-Analysis!SalesProductCountry</c:name>
    <c:fmtId val="1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'Pivot-Analysis'!$B$341:$B$342</c:f>
              <c:strCache>
                <c:ptCount val="1"/>
                <c:pt idx="0">
                  <c:v>Amarilla</c:v>
                </c:pt>
              </c:strCache>
            </c:strRef>
          </c:tx>
          <c:spPr>
            <a:solidFill>
              <a:schemeClr val="accent1"/>
            </a:solidFill>
            <a:ln>
              <a:noFill/>
            </a:ln>
            <a:effectLst/>
          </c:spPr>
          <c:invertIfNegative val="0"/>
          <c:cat>
            <c:strRef>
              <c:f>'Pivot-Analysis'!$A$343:$A$348</c:f>
              <c:strCache>
                <c:ptCount val="5"/>
                <c:pt idx="0">
                  <c:v>Canada</c:v>
                </c:pt>
                <c:pt idx="1">
                  <c:v>France</c:v>
                </c:pt>
                <c:pt idx="2">
                  <c:v>Germany</c:v>
                </c:pt>
                <c:pt idx="3">
                  <c:v>Mexico</c:v>
                </c:pt>
                <c:pt idx="4">
                  <c:v>United States of America</c:v>
                </c:pt>
              </c:strCache>
            </c:strRef>
          </c:cat>
          <c:val>
            <c:numRef>
              <c:f>'Pivot-Analysis'!$B$343:$B$348</c:f>
              <c:numCache>
                <c:formatCode>General</c:formatCode>
                <c:ptCount val="5"/>
                <c:pt idx="0">
                  <c:v>3855765.8800000004</c:v>
                </c:pt>
                <c:pt idx="1">
                  <c:v>4016427.1300000004</c:v>
                </c:pt>
                <c:pt idx="2">
                  <c:v>3960250.26</c:v>
                </c:pt>
                <c:pt idx="3">
                  <c:v>3077555.3899999997</c:v>
                </c:pt>
                <c:pt idx="4">
                  <c:v>2837117.41</c:v>
                </c:pt>
              </c:numCache>
            </c:numRef>
          </c:val>
          <c:extLst>
            <c:ext xmlns:c16="http://schemas.microsoft.com/office/drawing/2014/chart" uri="{C3380CC4-5D6E-409C-BE32-E72D297353CC}">
              <c16:uniqueId val="{00000000-1AC2-447E-8546-ECE62BF6AD76}"/>
            </c:ext>
          </c:extLst>
        </c:ser>
        <c:ser>
          <c:idx val="1"/>
          <c:order val="1"/>
          <c:tx>
            <c:strRef>
              <c:f>'Pivot-Analysis'!$C$341:$C$342</c:f>
              <c:strCache>
                <c:ptCount val="1"/>
                <c:pt idx="0">
                  <c:v>Carretera</c:v>
                </c:pt>
              </c:strCache>
            </c:strRef>
          </c:tx>
          <c:spPr>
            <a:solidFill>
              <a:schemeClr val="accent2"/>
            </a:solidFill>
            <a:ln>
              <a:noFill/>
            </a:ln>
            <a:effectLst/>
          </c:spPr>
          <c:invertIfNegative val="0"/>
          <c:cat>
            <c:strRef>
              <c:f>'Pivot-Analysis'!$A$343:$A$348</c:f>
              <c:strCache>
                <c:ptCount val="5"/>
                <c:pt idx="0">
                  <c:v>Canada</c:v>
                </c:pt>
                <c:pt idx="1">
                  <c:v>France</c:v>
                </c:pt>
                <c:pt idx="2">
                  <c:v>Germany</c:v>
                </c:pt>
                <c:pt idx="3">
                  <c:v>Mexico</c:v>
                </c:pt>
                <c:pt idx="4">
                  <c:v>United States of America</c:v>
                </c:pt>
              </c:strCache>
            </c:strRef>
          </c:cat>
          <c:val>
            <c:numRef>
              <c:f>'Pivot-Analysis'!$C$343:$C$348</c:f>
              <c:numCache>
                <c:formatCode>General</c:formatCode>
                <c:ptCount val="5"/>
                <c:pt idx="0">
                  <c:v>2610204.34</c:v>
                </c:pt>
                <c:pt idx="1">
                  <c:v>3423321.9</c:v>
                </c:pt>
                <c:pt idx="2">
                  <c:v>3062340.68</c:v>
                </c:pt>
                <c:pt idx="3">
                  <c:v>2879601.4199999995</c:v>
                </c:pt>
                <c:pt idx="4">
                  <c:v>1839839.5500000003</c:v>
                </c:pt>
              </c:numCache>
            </c:numRef>
          </c:val>
          <c:extLst>
            <c:ext xmlns:c16="http://schemas.microsoft.com/office/drawing/2014/chart" uri="{C3380CC4-5D6E-409C-BE32-E72D297353CC}">
              <c16:uniqueId val="{00000000-97F7-4AFB-91A4-65D8F067B2F3}"/>
            </c:ext>
          </c:extLst>
        </c:ser>
        <c:ser>
          <c:idx val="2"/>
          <c:order val="2"/>
          <c:tx>
            <c:strRef>
              <c:f>'Pivot-Analysis'!$D$341:$D$342</c:f>
              <c:strCache>
                <c:ptCount val="1"/>
                <c:pt idx="0">
                  <c:v>Montana</c:v>
                </c:pt>
              </c:strCache>
            </c:strRef>
          </c:tx>
          <c:spPr>
            <a:solidFill>
              <a:schemeClr val="accent3"/>
            </a:solidFill>
            <a:ln>
              <a:noFill/>
            </a:ln>
            <a:effectLst/>
          </c:spPr>
          <c:invertIfNegative val="0"/>
          <c:cat>
            <c:strRef>
              <c:f>'Pivot-Analysis'!$A$343:$A$348</c:f>
              <c:strCache>
                <c:ptCount val="5"/>
                <c:pt idx="0">
                  <c:v>Canada</c:v>
                </c:pt>
                <c:pt idx="1">
                  <c:v>France</c:v>
                </c:pt>
                <c:pt idx="2">
                  <c:v>Germany</c:v>
                </c:pt>
                <c:pt idx="3">
                  <c:v>Mexico</c:v>
                </c:pt>
                <c:pt idx="4">
                  <c:v>United States of America</c:v>
                </c:pt>
              </c:strCache>
            </c:strRef>
          </c:cat>
          <c:val>
            <c:numRef>
              <c:f>'Pivot-Analysis'!$D$343:$D$348</c:f>
              <c:numCache>
                <c:formatCode>General</c:formatCode>
                <c:ptCount val="5"/>
                <c:pt idx="0">
                  <c:v>2711919.0300000003</c:v>
                </c:pt>
                <c:pt idx="1">
                  <c:v>3527382.37</c:v>
                </c:pt>
                <c:pt idx="2">
                  <c:v>3566044.37</c:v>
                </c:pt>
                <c:pt idx="3">
                  <c:v>1941329.3099999998</c:v>
                </c:pt>
                <c:pt idx="4">
                  <c:v>3644126.8</c:v>
                </c:pt>
              </c:numCache>
            </c:numRef>
          </c:val>
          <c:extLst>
            <c:ext xmlns:c16="http://schemas.microsoft.com/office/drawing/2014/chart" uri="{C3380CC4-5D6E-409C-BE32-E72D297353CC}">
              <c16:uniqueId val="{00000001-97F7-4AFB-91A4-65D8F067B2F3}"/>
            </c:ext>
          </c:extLst>
        </c:ser>
        <c:ser>
          <c:idx val="3"/>
          <c:order val="3"/>
          <c:tx>
            <c:strRef>
              <c:f>'Pivot-Analysis'!$E$341:$E$342</c:f>
              <c:strCache>
                <c:ptCount val="1"/>
                <c:pt idx="0">
                  <c:v>Paseo</c:v>
                </c:pt>
              </c:strCache>
            </c:strRef>
          </c:tx>
          <c:spPr>
            <a:solidFill>
              <a:schemeClr val="accent4"/>
            </a:solidFill>
            <a:ln>
              <a:noFill/>
            </a:ln>
            <a:effectLst/>
          </c:spPr>
          <c:invertIfNegative val="0"/>
          <c:cat>
            <c:strRef>
              <c:f>'Pivot-Analysis'!$A$343:$A$348</c:f>
              <c:strCache>
                <c:ptCount val="5"/>
                <c:pt idx="0">
                  <c:v>Canada</c:v>
                </c:pt>
                <c:pt idx="1">
                  <c:v>France</c:v>
                </c:pt>
                <c:pt idx="2">
                  <c:v>Germany</c:v>
                </c:pt>
                <c:pt idx="3">
                  <c:v>Mexico</c:v>
                </c:pt>
                <c:pt idx="4">
                  <c:v>United States of America</c:v>
                </c:pt>
              </c:strCache>
            </c:strRef>
          </c:cat>
          <c:val>
            <c:numRef>
              <c:f>'Pivot-Analysis'!$E$343:$E$348</c:f>
              <c:numCache>
                <c:formatCode>General</c:formatCode>
                <c:ptCount val="5"/>
                <c:pt idx="0">
                  <c:v>7611520.9899999993</c:v>
                </c:pt>
                <c:pt idx="1">
                  <c:v>5597751.0600000005</c:v>
                </c:pt>
                <c:pt idx="2">
                  <c:v>5229814.7400000012</c:v>
                </c:pt>
                <c:pt idx="3">
                  <c:v>7627731.3900000006</c:v>
                </c:pt>
                <c:pt idx="4">
                  <c:v>6944325.7799999993</c:v>
                </c:pt>
              </c:numCache>
            </c:numRef>
          </c:val>
          <c:extLst>
            <c:ext xmlns:c16="http://schemas.microsoft.com/office/drawing/2014/chart" uri="{C3380CC4-5D6E-409C-BE32-E72D297353CC}">
              <c16:uniqueId val="{00000002-97F7-4AFB-91A4-65D8F067B2F3}"/>
            </c:ext>
          </c:extLst>
        </c:ser>
        <c:ser>
          <c:idx val="4"/>
          <c:order val="4"/>
          <c:tx>
            <c:strRef>
              <c:f>'Pivot-Analysis'!$F$341:$F$342</c:f>
              <c:strCache>
                <c:ptCount val="1"/>
                <c:pt idx="0">
                  <c:v>Velo</c:v>
                </c:pt>
              </c:strCache>
            </c:strRef>
          </c:tx>
          <c:spPr>
            <a:solidFill>
              <a:schemeClr val="accent5"/>
            </a:solidFill>
            <a:ln>
              <a:noFill/>
            </a:ln>
            <a:effectLst/>
          </c:spPr>
          <c:invertIfNegative val="0"/>
          <c:cat>
            <c:strRef>
              <c:f>'Pivot-Analysis'!$A$343:$A$348</c:f>
              <c:strCache>
                <c:ptCount val="5"/>
                <c:pt idx="0">
                  <c:v>Canada</c:v>
                </c:pt>
                <c:pt idx="1">
                  <c:v>France</c:v>
                </c:pt>
                <c:pt idx="2">
                  <c:v>Germany</c:v>
                </c:pt>
                <c:pt idx="3">
                  <c:v>Mexico</c:v>
                </c:pt>
                <c:pt idx="4">
                  <c:v>United States of America</c:v>
                </c:pt>
              </c:strCache>
            </c:strRef>
          </c:cat>
          <c:val>
            <c:numRef>
              <c:f>'Pivot-Analysis'!$F$343:$F$348</c:f>
              <c:numCache>
                <c:formatCode>General</c:formatCode>
                <c:ptCount val="5"/>
                <c:pt idx="0">
                  <c:v>3329490.34</c:v>
                </c:pt>
                <c:pt idx="1">
                  <c:v>3978096.24</c:v>
                </c:pt>
                <c:pt idx="2">
                  <c:v>4392907</c:v>
                </c:pt>
                <c:pt idx="3">
                  <c:v>2250737.8899999997</c:v>
                </c:pt>
                <c:pt idx="4">
                  <c:v>4298828</c:v>
                </c:pt>
              </c:numCache>
            </c:numRef>
          </c:val>
          <c:extLst>
            <c:ext xmlns:c16="http://schemas.microsoft.com/office/drawing/2014/chart" uri="{C3380CC4-5D6E-409C-BE32-E72D297353CC}">
              <c16:uniqueId val="{00000003-97F7-4AFB-91A4-65D8F067B2F3}"/>
            </c:ext>
          </c:extLst>
        </c:ser>
        <c:ser>
          <c:idx val="5"/>
          <c:order val="5"/>
          <c:tx>
            <c:strRef>
              <c:f>'Pivot-Analysis'!$G$341:$G$342</c:f>
              <c:strCache>
                <c:ptCount val="1"/>
                <c:pt idx="0">
                  <c:v>VTT</c:v>
                </c:pt>
              </c:strCache>
            </c:strRef>
          </c:tx>
          <c:spPr>
            <a:solidFill>
              <a:schemeClr val="accent6"/>
            </a:solidFill>
            <a:ln>
              <a:noFill/>
            </a:ln>
            <a:effectLst/>
          </c:spPr>
          <c:invertIfNegative val="0"/>
          <c:cat>
            <c:strRef>
              <c:f>'Pivot-Analysis'!$A$343:$A$348</c:f>
              <c:strCache>
                <c:ptCount val="5"/>
                <c:pt idx="0">
                  <c:v>Canada</c:v>
                </c:pt>
                <c:pt idx="1">
                  <c:v>France</c:v>
                </c:pt>
                <c:pt idx="2">
                  <c:v>Germany</c:v>
                </c:pt>
                <c:pt idx="3">
                  <c:v>Mexico</c:v>
                </c:pt>
                <c:pt idx="4">
                  <c:v>United States of America</c:v>
                </c:pt>
              </c:strCache>
            </c:strRef>
          </c:cat>
          <c:val>
            <c:numRef>
              <c:f>'Pivot-Analysis'!$G$343:$G$348</c:f>
              <c:numCache>
                <c:formatCode>General</c:formatCode>
                <c:ptCount val="5"/>
                <c:pt idx="0">
                  <c:v>4768754.3100000005</c:v>
                </c:pt>
                <c:pt idx="1">
                  <c:v>3811193.5899999994</c:v>
                </c:pt>
                <c:pt idx="2">
                  <c:v>3293983.77</c:v>
                </c:pt>
                <c:pt idx="3">
                  <c:v>3172396.7100000004</c:v>
                </c:pt>
                <c:pt idx="4">
                  <c:v>5465592.6399999997</c:v>
                </c:pt>
              </c:numCache>
            </c:numRef>
          </c:val>
          <c:extLst>
            <c:ext xmlns:c16="http://schemas.microsoft.com/office/drawing/2014/chart" uri="{C3380CC4-5D6E-409C-BE32-E72D297353CC}">
              <c16:uniqueId val="{00000004-97F7-4AFB-91A4-65D8F067B2F3}"/>
            </c:ext>
          </c:extLst>
        </c:ser>
        <c:dLbls>
          <c:showLegendKey val="0"/>
          <c:showVal val="0"/>
          <c:showCatName val="0"/>
          <c:showSerName val="0"/>
          <c:showPercent val="0"/>
          <c:showBubbleSize val="0"/>
        </c:dLbls>
        <c:gapWidth val="219"/>
        <c:overlap val="-27"/>
        <c:axId val="190731392"/>
        <c:axId val="198402432"/>
      </c:barChart>
      <c:catAx>
        <c:axId val="19073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02432"/>
        <c:crosses val="autoZero"/>
        <c:auto val="1"/>
        <c:lblAlgn val="ctr"/>
        <c:lblOffset val="100"/>
        <c:noMultiLvlLbl val="0"/>
      </c:catAx>
      <c:valAx>
        <c:axId val="19840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31392"/>
        <c:crosses val="autoZero"/>
        <c:crossBetween val="between"/>
      </c:valAx>
      <c:spPr>
        <a:noFill/>
        <a:ln>
          <a:noFill/>
        </a:ln>
        <a:effectLst/>
      </c:spPr>
    </c:plotArea>
    <c:legend>
      <c:legendPos val="r"/>
      <c:layout>
        <c:manualLayout>
          <c:xMode val="edge"/>
          <c:yMode val="edge"/>
          <c:x val="0.87809898702052824"/>
          <c:y val="0.17533502009044541"/>
          <c:w val="0.12190101297947177"/>
          <c:h val="0.508773698886186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Excel.xlsx]Pivot-Analysis!CountrySales</c:name>
    <c:fmtId val="17"/>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'Pivot-Analysis'!$B$357</c:f>
              <c:strCache>
                <c:ptCount val="1"/>
                <c:pt idx="0">
                  <c:v>Total</c:v>
                </c:pt>
              </c:strCache>
            </c:strRef>
          </c:tx>
          <c:spPr>
            <a:solidFill>
              <a:schemeClr val="accent1"/>
            </a:solidFill>
            <a:ln>
              <a:noFill/>
            </a:ln>
            <a:effectLst/>
          </c:spPr>
          <c:invertIfNegative val="0"/>
          <c:cat>
            <c:strRef>
              <c:f>'Pivot-Analysis'!$A$358:$A$363</c:f>
              <c:strCache>
                <c:ptCount val="5"/>
                <c:pt idx="0">
                  <c:v>United States of America</c:v>
                </c:pt>
                <c:pt idx="1">
                  <c:v>Canada</c:v>
                </c:pt>
                <c:pt idx="2">
                  <c:v>France</c:v>
                </c:pt>
                <c:pt idx="3">
                  <c:v>Germany</c:v>
                </c:pt>
                <c:pt idx="4">
                  <c:v>Mexico</c:v>
                </c:pt>
              </c:strCache>
            </c:strRef>
          </c:cat>
          <c:val>
            <c:numRef>
              <c:f>'Pivot-Analysis'!$B$358:$B$363</c:f>
              <c:numCache>
                <c:formatCode>General</c:formatCode>
                <c:ptCount val="5"/>
                <c:pt idx="0">
                  <c:v>25029830.18</c:v>
                </c:pt>
                <c:pt idx="1">
                  <c:v>24887654.889999993</c:v>
                </c:pt>
                <c:pt idx="2">
                  <c:v>24354172.289999995</c:v>
                </c:pt>
                <c:pt idx="3">
                  <c:v>23505340.82</c:v>
                </c:pt>
                <c:pt idx="4">
                  <c:v>20949352.109999999</c:v>
                </c:pt>
              </c:numCache>
            </c:numRef>
          </c:val>
          <c:extLst>
            <c:ext xmlns:c16="http://schemas.microsoft.com/office/drawing/2014/chart" uri="{C3380CC4-5D6E-409C-BE32-E72D297353CC}">
              <c16:uniqueId val="{00000000-20A6-4876-89A5-1F51BD40892B}"/>
            </c:ext>
          </c:extLst>
        </c:ser>
        <c:dLbls>
          <c:showLegendKey val="0"/>
          <c:showVal val="0"/>
          <c:showCatName val="0"/>
          <c:showSerName val="0"/>
          <c:showPercent val="0"/>
          <c:showBubbleSize val="0"/>
        </c:dLbls>
        <c:gapWidth val="219"/>
        <c:overlap val="-27"/>
        <c:axId val="296066048"/>
        <c:axId val="197267632"/>
      </c:barChart>
      <c:catAx>
        <c:axId val="29606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67632"/>
        <c:crosses val="autoZero"/>
        <c:auto val="1"/>
        <c:lblAlgn val="ctr"/>
        <c:lblOffset val="100"/>
        <c:noMultiLvlLbl val="0"/>
      </c:catAx>
      <c:valAx>
        <c:axId val="19726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06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Excel.xlsx]Pivot-Analysis!PivotTable17</c:name>
    <c:fmtId val="18"/>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'Pivot-Analysis'!$B$371</c:f>
              <c:strCache>
                <c:ptCount val="1"/>
                <c:pt idx="0">
                  <c:v>Total</c:v>
                </c:pt>
              </c:strCache>
            </c:strRef>
          </c:tx>
          <c:spPr>
            <a:solidFill>
              <a:schemeClr val="accent1"/>
            </a:solidFill>
            <a:ln>
              <a:noFill/>
            </a:ln>
            <a:effectLst/>
          </c:spPr>
          <c:invertIfNegative val="0"/>
          <c:cat>
            <c:strRef>
              <c:f>'Pivot-Analysis'!$A$372:$A$374</c:f>
              <c:strCache>
                <c:ptCount val="2"/>
                <c:pt idx="0">
                  <c:v>North America</c:v>
                </c:pt>
                <c:pt idx="1">
                  <c:v>Europe</c:v>
                </c:pt>
              </c:strCache>
            </c:strRef>
          </c:cat>
          <c:val>
            <c:numRef>
              <c:f>'Pivot-Analysis'!$B$372:$B$374</c:f>
              <c:numCache>
                <c:formatCode>General</c:formatCode>
                <c:ptCount val="2"/>
                <c:pt idx="0">
                  <c:v>70866837.179999992</c:v>
                </c:pt>
                <c:pt idx="1">
                  <c:v>47859513.110000014</c:v>
                </c:pt>
              </c:numCache>
            </c:numRef>
          </c:val>
          <c:extLst>
            <c:ext xmlns:c16="http://schemas.microsoft.com/office/drawing/2014/chart" uri="{C3380CC4-5D6E-409C-BE32-E72D297353CC}">
              <c16:uniqueId val="{00000000-5FF9-413A-9F8E-A00FDD7AB93D}"/>
            </c:ext>
          </c:extLst>
        </c:ser>
        <c:dLbls>
          <c:showLegendKey val="0"/>
          <c:showVal val="0"/>
          <c:showCatName val="0"/>
          <c:showSerName val="0"/>
          <c:showPercent val="0"/>
          <c:showBubbleSize val="0"/>
        </c:dLbls>
        <c:gapWidth val="219"/>
        <c:overlap val="-27"/>
        <c:axId val="264197584"/>
        <c:axId val="163102352"/>
      </c:barChart>
      <c:catAx>
        <c:axId val="26419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02352"/>
        <c:crosses val="autoZero"/>
        <c:auto val="1"/>
        <c:lblAlgn val="ctr"/>
        <c:lblOffset val="100"/>
        <c:noMultiLvlLbl val="0"/>
      </c:catAx>
      <c:valAx>
        <c:axId val="163102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19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Excel.xlsx]Pivot-Analysis!DB_UnitSold</c:name>
    <c:fmtId val="19"/>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'Pivot-Analysis'!$B$379</c:f>
              <c:strCache>
                <c:ptCount val="1"/>
                <c:pt idx="0">
                  <c:v>Total</c:v>
                </c:pt>
              </c:strCache>
            </c:strRef>
          </c:tx>
          <c:spPr>
            <a:solidFill>
              <a:schemeClr val="accent1"/>
            </a:solidFill>
            <a:ln>
              <a:noFill/>
            </a:ln>
            <a:effectLst/>
          </c:spPr>
          <c:invertIfNegative val="0"/>
          <c:cat>
            <c:strRef>
              <c:f>'Pivot-Analysis'!$A$380:$A$384</c:f>
              <c:strCache>
                <c:ptCount val="4"/>
                <c:pt idx="0">
                  <c:v>High</c:v>
                </c:pt>
                <c:pt idx="1">
                  <c:v>Medium</c:v>
                </c:pt>
                <c:pt idx="2">
                  <c:v>Low</c:v>
                </c:pt>
                <c:pt idx="3">
                  <c:v>None</c:v>
                </c:pt>
              </c:strCache>
            </c:strRef>
          </c:cat>
          <c:val>
            <c:numRef>
              <c:f>'Pivot-Analysis'!$B$380:$B$384</c:f>
              <c:numCache>
                <c:formatCode>0.00%</c:formatCode>
                <c:ptCount val="4"/>
                <c:pt idx="0">
                  <c:v>0.35360044270504865</c:v>
                </c:pt>
                <c:pt idx="1">
                  <c:v>0.33726814388979987</c:v>
                </c:pt>
                <c:pt idx="2">
                  <c:v>0.23259646866333986</c:v>
                </c:pt>
                <c:pt idx="3">
                  <c:v>7.6534944741811647E-2</c:v>
                </c:pt>
              </c:numCache>
            </c:numRef>
          </c:val>
          <c:extLst>
            <c:ext xmlns:c16="http://schemas.microsoft.com/office/drawing/2014/chart" uri="{C3380CC4-5D6E-409C-BE32-E72D297353CC}">
              <c16:uniqueId val="{00000000-E3E7-49D7-8945-7A14C55380AB}"/>
            </c:ext>
          </c:extLst>
        </c:ser>
        <c:dLbls>
          <c:showLegendKey val="0"/>
          <c:showVal val="0"/>
          <c:showCatName val="0"/>
          <c:showSerName val="0"/>
          <c:showPercent val="0"/>
          <c:showBubbleSize val="0"/>
        </c:dLbls>
        <c:gapWidth val="219"/>
        <c:overlap val="-27"/>
        <c:axId val="264200384"/>
        <c:axId val="163104848"/>
      </c:barChart>
      <c:catAx>
        <c:axId val="26420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04848"/>
        <c:crosses val="autoZero"/>
        <c:auto val="1"/>
        <c:lblAlgn val="ctr"/>
        <c:lblOffset val="100"/>
        <c:noMultiLvlLbl val="0"/>
      </c:catAx>
      <c:valAx>
        <c:axId val="163104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20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Excel.xlsx]Pivot-Analysis!DBPR</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'Pivot-Analysis'!$B$388</c:f>
              <c:strCache>
                <c:ptCount val="1"/>
                <c:pt idx="0">
                  <c:v>Total</c:v>
                </c:pt>
              </c:strCache>
            </c:strRef>
          </c:tx>
          <c:spPr>
            <a:solidFill>
              <a:schemeClr val="accent1"/>
            </a:solidFill>
            <a:ln>
              <a:noFill/>
            </a:ln>
            <a:effectLst/>
          </c:spPr>
          <c:invertIfNegative val="0"/>
          <c:cat>
            <c:strRef>
              <c:f>'Pivot-Analysis'!$A$389:$A$393</c:f>
              <c:strCache>
                <c:ptCount val="4"/>
                <c:pt idx="0">
                  <c:v>None</c:v>
                </c:pt>
                <c:pt idx="1">
                  <c:v>Low</c:v>
                </c:pt>
                <c:pt idx="2">
                  <c:v>Medium</c:v>
                </c:pt>
                <c:pt idx="3">
                  <c:v>High</c:v>
                </c:pt>
              </c:strCache>
            </c:strRef>
          </c:cat>
          <c:val>
            <c:numRef>
              <c:f>'Pivot-Analysis'!$B$389:$B$393</c:f>
              <c:numCache>
                <c:formatCode>0.00%</c:formatCode>
                <c:ptCount val="4"/>
                <c:pt idx="0">
                  <c:v>0.93156748911465914</c:v>
                </c:pt>
                <c:pt idx="1">
                  <c:v>0.70974463286283196</c:v>
                </c:pt>
                <c:pt idx="2">
                  <c:v>0.63754998537397112</c:v>
                </c:pt>
                <c:pt idx="3">
                  <c:v>0.57172326405906182</c:v>
                </c:pt>
              </c:numCache>
            </c:numRef>
          </c:val>
          <c:extLst>
            <c:ext xmlns:c16="http://schemas.microsoft.com/office/drawing/2014/chart" uri="{C3380CC4-5D6E-409C-BE32-E72D297353CC}">
              <c16:uniqueId val="{00000000-76E2-4B4B-B2E1-0F4819DED597}"/>
            </c:ext>
          </c:extLst>
        </c:ser>
        <c:dLbls>
          <c:showLegendKey val="0"/>
          <c:showVal val="0"/>
          <c:showCatName val="0"/>
          <c:showSerName val="0"/>
          <c:showPercent val="0"/>
          <c:showBubbleSize val="0"/>
        </c:dLbls>
        <c:gapWidth val="219"/>
        <c:overlap val="-27"/>
        <c:axId val="264214784"/>
        <c:axId val="163106096"/>
      </c:barChart>
      <c:catAx>
        <c:axId val="26421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06096"/>
        <c:crosses val="autoZero"/>
        <c:auto val="1"/>
        <c:lblAlgn val="ctr"/>
        <c:lblOffset val="100"/>
        <c:noMultiLvlLbl val="0"/>
      </c:catAx>
      <c:valAx>
        <c:axId val="163106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21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Excel.xlsx]Pivot-Analysis!PivotTable20</c:name>
    <c:fmtId val="2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'Pivot-Analysis'!$B$402:$B$403</c:f>
              <c:strCache>
                <c:ptCount val="1"/>
                <c:pt idx="0">
                  <c:v>Amarilla</c:v>
                </c:pt>
              </c:strCache>
            </c:strRef>
          </c:tx>
          <c:spPr>
            <a:solidFill>
              <a:schemeClr val="accent1"/>
            </a:solidFill>
            <a:ln>
              <a:noFill/>
            </a:ln>
            <a:effectLst/>
          </c:spPr>
          <c:invertIfNegative val="0"/>
          <c:cat>
            <c:strRef>
              <c:f>'Pivot-Analysis'!$A$404:$A$409</c:f>
              <c:strCache>
                <c:ptCount val="5"/>
                <c:pt idx="0">
                  <c:v>Canada</c:v>
                </c:pt>
                <c:pt idx="1">
                  <c:v>France</c:v>
                </c:pt>
                <c:pt idx="2">
                  <c:v>Germany</c:v>
                </c:pt>
                <c:pt idx="3">
                  <c:v>Mexico</c:v>
                </c:pt>
                <c:pt idx="4">
                  <c:v>United States of America</c:v>
                </c:pt>
              </c:strCache>
            </c:strRef>
          </c:cat>
          <c:val>
            <c:numRef>
              <c:f>'Pivot-Analysis'!$B$404:$B$409</c:f>
              <c:numCache>
                <c:formatCode>0.00%</c:formatCode>
                <c:ptCount val="5"/>
                <c:pt idx="0">
                  <c:v>0.21726154631500083</c:v>
                </c:pt>
                <c:pt idx="1">
                  <c:v>0.22631435519765553</c:v>
                </c:pt>
                <c:pt idx="2">
                  <c:v>0.22314894681364417</c:v>
                </c:pt>
                <c:pt idx="3">
                  <c:v>0.17341157728732878</c:v>
                </c:pt>
                <c:pt idx="4">
                  <c:v>0.15986357438637072</c:v>
                </c:pt>
              </c:numCache>
            </c:numRef>
          </c:val>
          <c:extLst>
            <c:ext xmlns:c16="http://schemas.microsoft.com/office/drawing/2014/chart" uri="{C3380CC4-5D6E-409C-BE32-E72D297353CC}">
              <c16:uniqueId val="{00000000-FF9D-4E84-94FE-464508E7BEC1}"/>
            </c:ext>
          </c:extLst>
        </c:ser>
        <c:ser>
          <c:idx val="1"/>
          <c:order val="1"/>
          <c:tx>
            <c:strRef>
              <c:f>'Pivot-Analysis'!$C$402:$C$403</c:f>
              <c:strCache>
                <c:ptCount val="1"/>
                <c:pt idx="0">
                  <c:v>Carretera</c:v>
                </c:pt>
              </c:strCache>
            </c:strRef>
          </c:tx>
          <c:spPr>
            <a:solidFill>
              <a:schemeClr val="accent2"/>
            </a:solidFill>
            <a:ln>
              <a:noFill/>
            </a:ln>
            <a:effectLst/>
          </c:spPr>
          <c:invertIfNegative val="0"/>
          <c:cat>
            <c:strRef>
              <c:f>'Pivot-Analysis'!$A$404:$A$409</c:f>
              <c:strCache>
                <c:ptCount val="5"/>
                <c:pt idx="0">
                  <c:v>Canada</c:v>
                </c:pt>
                <c:pt idx="1">
                  <c:v>France</c:v>
                </c:pt>
                <c:pt idx="2">
                  <c:v>Germany</c:v>
                </c:pt>
                <c:pt idx="3">
                  <c:v>Mexico</c:v>
                </c:pt>
                <c:pt idx="4">
                  <c:v>United States of America</c:v>
                </c:pt>
              </c:strCache>
            </c:strRef>
          </c:cat>
          <c:val>
            <c:numRef>
              <c:f>'Pivot-Analysis'!$C$404:$C$409</c:f>
              <c:numCache>
                <c:formatCode>0.00%</c:formatCode>
                <c:ptCount val="5"/>
                <c:pt idx="0">
                  <c:v>0.18893566186022942</c:v>
                </c:pt>
                <c:pt idx="1">
                  <c:v>0.24779193683246967</c:v>
                </c:pt>
                <c:pt idx="2">
                  <c:v>0.22166286154336298</c:v>
                </c:pt>
                <c:pt idx="3">
                  <c:v>0.2084355587966559</c:v>
                </c:pt>
                <c:pt idx="4">
                  <c:v>0.13317398096728195</c:v>
                </c:pt>
              </c:numCache>
            </c:numRef>
          </c:val>
          <c:extLst>
            <c:ext xmlns:c16="http://schemas.microsoft.com/office/drawing/2014/chart" uri="{C3380CC4-5D6E-409C-BE32-E72D297353CC}">
              <c16:uniqueId val="{00000001-FF9D-4E84-94FE-464508E7BEC1}"/>
            </c:ext>
          </c:extLst>
        </c:ser>
        <c:ser>
          <c:idx val="2"/>
          <c:order val="2"/>
          <c:tx>
            <c:strRef>
              <c:f>'Pivot-Analysis'!$D$402:$D$403</c:f>
              <c:strCache>
                <c:ptCount val="1"/>
                <c:pt idx="0">
                  <c:v>Montana</c:v>
                </c:pt>
              </c:strCache>
            </c:strRef>
          </c:tx>
          <c:spPr>
            <a:solidFill>
              <a:schemeClr val="accent3"/>
            </a:solidFill>
            <a:ln>
              <a:noFill/>
            </a:ln>
            <a:effectLst/>
          </c:spPr>
          <c:invertIfNegative val="0"/>
          <c:cat>
            <c:strRef>
              <c:f>'Pivot-Analysis'!$A$404:$A$409</c:f>
              <c:strCache>
                <c:ptCount val="5"/>
                <c:pt idx="0">
                  <c:v>Canada</c:v>
                </c:pt>
                <c:pt idx="1">
                  <c:v>France</c:v>
                </c:pt>
                <c:pt idx="2">
                  <c:v>Germany</c:v>
                </c:pt>
                <c:pt idx="3">
                  <c:v>Mexico</c:v>
                </c:pt>
                <c:pt idx="4">
                  <c:v>United States of America</c:v>
                </c:pt>
              </c:strCache>
            </c:strRef>
          </c:cat>
          <c:val>
            <c:numRef>
              <c:f>'Pivot-Analysis'!$D$404:$D$409</c:f>
              <c:numCache>
                <c:formatCode>0.00%</c:formatCode>
                <c:ptCount val="5"/>
                <c:pt idx="0">
                  <c:v>0.17620388145753979</c:v>
                </c:pt>
                <c:pt idx="1">
                  <c:v>0.22918769259084246</c:v>
                </c:pt>
                <c:pt idx="2">
                  <c:v>0.2316997124518895</c:v>
                </c:pt>
                <c:pt idx="3">
                  <c:v>0.1261356831915765</c:v>
                </c:pt>
                <c:pt idx="4">
                  <c:v>0.23677303030815183</c:v>
                </c:pt>
              </c:numCache>
            </c:numRef>
          </c:val>
          <c:extLst>
            <c:ext xmlns:c16="http://schemas.microsoft.com/office/drawing/2014/chart" uri="{C3380CC4-5D6E-409C-BE32-E72D297353CC}">
              <c16:uniqueId val="{00000002-FF9D-4E84-94FE-464508E7BEC1}"/>
            </c:ext>
          </c:extLst>
        </c:ser>
        <c:ser>
          <c:idx val="3"/>
          <c:order val="3"/>
          <c:tx>
            <c:strRef>
              <c:f>'Pivot-Analysis'!$E$402:$E$403</c:f>
              <c:strCache>
                <c:ptCount val="1"/>
                <c:pt idx="0">
                  <c:v>Paseo</c:v>
                </c:pt>
              </c:strCache>
            </c:strRef>
          </c:tx>
          <c:spPr>
            <a:solidFill>
              <a:schemeClr val="accent4"/>
            </a:solidFill>
            <a:ln>
              <a:noFill/>
            </a:ln>
            <a:effectLst/>
          </c:spPr>
          <c:invertIfNegative val="0"/>
          <c:cat>
            <c:strRef>
              <c:f>'Pivot-Analysis'!$A$404:$A$409</c:f>
              <c:strCache>
                <c:ptCount val="5"/>
                <c:pt idx="0">
                  <c:v>Canada</c:v>
                </c:pt>
                <c:pt idx="1">
                  <c:v>France</c:v>
                </c:pt>
                <c:pt idx="2">
                  <c:v>Germany</c:v>
                </c:pt>
                <c:pt idx="3">
                  <c:v>Mexico</c:v>
                </c:pt>
                <c:pt idx="4">
                  <c:v>United States of America</c:v>
                </c:pt>
              </c:strCache>
            </c:strRef>
          </c:cat>
          <c:val>
            <c:numRef>
              <c:f>'Pivot-Analysis'!$E$404:$E$409</c:f>
              <c:numCache>
                <c:formatCode>0.00%</c:formatCode>
                <c:ptCount val="5"/>
                <c:pt idx="0">
                  <c:v>0.23057428725350962</c:v>
                </c:pt>
                <c:pt idx="1">
                  <c:v>0.1695715564047966</c:v>
                </c:pt>
                <c:pt idx="2">
                  <c:v>0.15842573484690595</c:v>
                </c:pt>
                <c:pt idx="3">
                  <c:v>0.23106534566759074</c:v>
                </c:pt>
                <c:pt idx="4">
                  <c:v>0.2103630758271971</c:v>
                </c:pt>
              </c:numCache>
            </c:numRef>
          </c:val>
          <c:extLst>
            <c:ext xmlns:c16="http://schemas.microsoft.com/office/drawing/2014/chart" uri="{C3380CC4-5D6E-409C-BE32-E72D297353CC}">
              <c16:uniqueId val="{00000003-FF9D-4E84-94FE-464508E7BEC1}"/>
            </c:ext>
          </c:extLst>
        </c:ser>
        <c:ser>
          <c:idx val="4"/>
          <c:order val="4"/>
          <c:tx>
            <c:strRef>
              <c:f>'Pivot-Analysis'!$F$402:$F$403</c:f>
              <c:strCache>
                <c:ptCount val="1"/>
                <c:pt idx="0">
                  <c:v>Velo</c:v>
                </c:pt>
              </c:strCache>
            </c:strRef>
          </c:tx>
          <c:spPr>
            <a:solidFill>
              <a:schemeClr val="accent5"/>
            </a:solidFill>
            <a:ln>
              <a:noFill/>
            </a:ln>
            <a:effectLst/>
          </c:spPr>
          <c:invertIfNegative val="0"/>
          <c:cat>
            <c:strRef>
              <c:f>'Pivot-Analysis'!$A$404:$A$409</c:f>
              <c:strCache>
                <c:ptCount val="5"/>
                <c:pt idx="0">
                  <c:v>Canada</c:v>
                </c:pt>
                <c:pt idx="1">
                  <c:v>France</c:v>
                </c:pt>
                <c:pt idx="2">
                  <c:v>Germany</c:v>
                </c:pt>
                <c:pt idx="3">
                  <c:v>Mexico</c:v>
                </c:pt>
                <c:pt idx="4">
                  <c:v>United States of America</c:v>
                </c:pt>
              </c:strCache>
            </c:strRef>
          </c:cat>
          <c:val>
            <c:numRef>
              <c:f>'Pivot-Analysis'!$F$404:$F$409</c:f>
              <c:numCache>
                <c:formatCode>0.00%</c:formatCode>
                <c:ptCount val="5"/>
                <c:pt idx="0">
                  <c:v>0.18243723235385162</c:v>
                </c:pt>
                <c:pt idx="1">
                  <c:v>0.21797716585742175</c:v>
                </c:pt>
                <c:pt idx="2">
                  <c:v>0.2407064485034251</c:v>
                </c:pt>
                <c:pt idx="3">
                  <c:v>0.1233277016822784</c:v>
                </c:pt>
                <c:pt idx="4">
                  <c:v>0.23555145160302321</c:v>
                </c:pt>
              </c:numCache>
            </c:numRef>
          </c:val>
          <c:extLst>
            <c:ext xmlns:c16="http://schemas.microsoft.com/office/drawing/2014/chart" uri="{C3380CC4-5D6E-409C-BE32-E72D297353CC}">
              <c16:uniqueId val="{00000004-FF9D-4E84-94FE-464508E7BEC1}"/>
            </c:ext>
          </c:extLst>
        </c:ser>
        <c:ser>
          <c:idx val="5"/>
          <c:order val="5"/>
          <c:tx>
            <c:strRef>
              <c:f>'Pivot-Analysis'!$G$402:$G$403</c:f>
              <c:strCache>
                <c:ptCount val="1"/>
                <c:pt idx="0">
                  <c:v>VTT</c:v>
                </c:pt>
              </c:strCache>
            </c:strRef>
          </c:tx>
          <c:spPr>
            <a:solidFill>
              <a:schemeClr val="accent6"/>
            </a:solidFill>
            <a:ln>
              <a:noFill/>
            </a:ln>
            <a:effectLst/>
          </c:spPr>
          <c:invertIfNegative val="0"/>
          <c:cat>
            <c:strRef>
              <c:f>'Pivot-Analysis'!$A$404:$A$409</c:f>
              <c:strCache>
                <c:ptCount val="5"/>
                <c:pt idx="0">
                  <c:v>Canada</c:v>
                </c:pt>
                <c:pt idx="1">
                  <c:v>France</c:v>
                </c:pt>
                <c:pt idx="2">
                  <c:v>Germany</c:v>
                </c:pt>
                <c:pt idx="3">
                  <c:v>Mexico</c:v>
                </c:pt>
                <c:pt idx="4">
                  <c:v>United States of America</c:v>
                </c:pt>
              </c:strCache>
            </c:strRef>
          </c:cat>
          <c:val>
            <c:numRef>
              <c:f>'Pivot-Analysis'!$G$404:$G$409</c:f>
              <c:numCache>
                <c:formatCode>0.00%</c:formatCode>
                <c:ptCount val="5"/>
                <c:pt idx="0">
                  <c:v>0.23248696722994697</c:v>
                </c:pt>
                <c:pt idx="1">
                  <c:v>0.18580383506176348</c:v>
                </c:pt>
                <c:pt idx="2">
                  <c:v>0.16058875064837785</c:v>
                </c:pt>
                <c:pt idx="3">
                  <c:v>0.15466112154521158</c:v>
                </c:pt>
                <c:pt idx="4">
                  <c:v>0.26645932551470014</c:v>
                </c:pt>
              </c:numCache>
            </c:numRef>
          </c:val>
          <c:extLst>
            <c:ext xmlns:c16="http://schemas.microsoft.com/office/drawing/2014/chart" uri="{C3380CC4-5D6E-409C-BE32-E72D297353CC}">
              <c16:uniqueId val="{00000005-FF9D-4E84-94FE-464508E7BEC1}"/>
            </c:ext>
          </c:extLst>
        </c:ser>
        <c:dLbls>
          <c:showLegendKey val="0"/>
          <c:showVal val="0"/>
          <c:showCatName val="0"/>
          <c:showSerName val="0"/>
          <c:showPercent val="0"/>
          <c:showBubbleSize val="0"/>
        </c:dLbls>
        <c:gapWidth val="219"/>
        <c:overlap val="-27"/>
        <c:axId val="288590432"/>
        <c:axId val="266438672"/>
      </c:barChart>
      <c:catAx>
        <c:axId val="28859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438672"/>
        <c:crosses val="autoZero"/>
        <c:auto val="1"/>
        <c:lblAlgn val="ctr"/>
        <c:lblOffset val="100"/>
        <c:noMultiLvlLbl val="0"/>
      </c:catAx>
      <c:valAx>
        <c:axId val="2664386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59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Excel.xlsx]Pivot-Analysis!SegmentProfit</c:name>
    <c:fmtId val="11"/>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'Pivot-Analysis'!$B$436</c:f>
              <c:strCache>
                <c:ptCount val="1"/>
                <c:pt idx="0">
                  <c:v>Total</c:v>
                </c:pt>
              </c:strCache>
            </c:strRef>
          </c:tx>
          <c:spPr>
            <a:solidFill>
              <a:schemeClr val="accent1"/>
            </a:solidFill>
            <a:ln>
              <a:noFill/>
            </a:ln>
            <a:effectLst/>
          </c:spPr>
          <c:invertIfNegative val="0"/>
          <c:cat>
            <c:strRef>
              <c:f>'Pivot-Analysis'!$A$437:$A$442</c:f>
              <c:strCache>
                <c:ptCount val="5"/>
                <c:pt idx="0">
                  <c:v>Government</c:v>
                </c:pt>
                <c:pt idx="1">
                  <c:v>Small Business</c:v>
                </c:pt>
                <c:pt idx="2">
                  <c:v>Channel Partners</c:v>
                </c:pt>
                <c:pt idx="3">
                  <c:v>Midmarket</c:v>
                </c:pt>
                <c:pt idx="4">
                  <c:v>Enterprise</c:v>
                </c:pt>
              </c:strCache>
            </c:strRef>
          </c:cat>
          <c:val>
            <c:numRef>
              <c:f>'Pivot-Analysis'!$B$437:$B$442</c:f>
              <c:numCache>
                <c:formatCode>General</c:formatCode>
                <c:ptCount val="5"/>
                <c:pt idx="0">
                  <c:v>11388173.17999999</c:v>
                </c:pt>
                <c:pt idx="1">
                  <c:v>4143168.5</c:v>
                </c:pt>
                <c:pt idx="2">
                  <c:v>1316803.1399999997</c:v>
                </c:pt>
                <c:pt idx="3">
                  <c:v>660103.08999999985</c:v>
                </c:pt>
                <c:pt idx="4">
                  <c:v>-614545.62</c:v>
                </c:pt>
              </c:numCache>
            </c:numRef>
          </c:val>
          <c:extLst>
            <c:ext xmlns:c16="http://schemas.microsoft.com/office/drawing/2014/chart" uri="{C3380CC4-5D6E-409C-BE32-E72D297353CC}">
              <c16:uniqueId val="{00000000-4D90-4DE4-BB55-535E8E360A42}"/>
            </c:ext>
          </c:extLst>
        </c:ser>
        <c:dLbls>
          <c:showLegendKey val="0"/>
          <c:showVal val="0"/>
          <c:showCatName val="0"/>
          <c:showSerName val="0"/>
          <c:showPercent val="0"/>
          <c:showBubbleSize val="0"/>
        </c:dLbls>
        <c:gapWidth val="182"/>
        <c:axId val="2084845696"/>
        <c:axId val="1710740448"/>
      </c:barChart>
      <c:catAx>
        <c:axId val="208484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740448"/>
        <c:crosses val="autoZero"/>
        <c:auto val="1"/>
        <c:lblAlgn val="ctr"/>
        <c:lblOffset val="100"/>
        <c:noMultiLvlLbl val="0"/>
      </c:catAx>
      <c:valAx>
        <c:axId val="171074044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84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Excel.xlsx]Pivot-Analysis!ProfitDB</c:name>
    <c:fmtId val="14"/>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'Pivot-Analysis'!$B$455</c:f>
              <c:strCache>
                <c:ptCount val="1"/>
                <c:pt idx="0">
                  <c:v>Total</c:v>
                </c:pt>
              </c:strCache>
            </c:strRef>
          </c:tx>
          <c:spPr>
            <a:solidFill>
              <a:schemeClr val="accent1"/>
            </a:solidFill>
            <a:ln>
              <a:noFill/>
            </a:ln>
            <a:effectLst/>
          </c:spPr>
          <c:invertIfNegative val="0"/>
          <c:cat>
            <c:strRef>
              <c:f>'Pivot-Analysis'!$A$456:$A$460</c:f>
              <c:strCache>
                <c:ptCount val="4"/>
                <c:pt idx="0">
                  <c:v>Low</c:v>
                </c:pt>
                <c:pt idx="1">
                  <c:v>Medium</c:v>
                </c:pt>
                <c:pt idx="2">
                  <c:v>High</c:v>
                </c:pt>
                <c:pt idx="3">
                  <c:v>None</c:v>
                </c:pt>
              </c:strCache>
            </c:strRef>
          </c:cat>
          <c:val>
            <c:numRef>
              <c:f>'Pivot-Analysis'!$B$456:$B$460</c:f>
              <c:numCache>
                <c:formatCode>General</c:formatCode>
                <c:ptCount val="4"/>
                <c:pt idx="0">
                  <c:v>6188857.71</c:v>
                </c:pt>
                <c:pt idx="1">
                  <c:v>5579522.8399999999</c:v>
                </c:pt>
                <c:pt idx="2">
                  <c:v>3388866.7400000021</c:v>
                </c:pt>
                <c:pt idx="3">
                  <c:v>1736455</c:v>
                </c:pt>
              </c:numCache>
            </c:numRef>
          </c:val>
          <c:extLst>
            <c:ext xmlns:c16="http://schemas.microsoft.com/office/drawing/2014/chart" uri="{C3380CC4-5D6E-409C-BE32-E72D297353CC}">
              <c16:uniqueId val="{00000000-2A1A-4412-B960-5DB8734CE96B}"/>
            </c:ext>
          </c:extLst>
        </c:ser>
        <c:dLbls>
          <c:showLegendKey val="0"/>
          <c:showVal val="0"/>
          <c:showCatName val="0"/>
          <c:showSerName val="0"/>
          <c:showPercent val="0"/>
          <c:showBubbleSize val="0"/>
        </c:dLbls>
        <c:gapWidth val="219"/>
        <c:overlap val="-27"/>
        <c:axId val="2084838896"/>
        <c:axId val="1710750848"/>
      </c:barChart>
      <c:catAx>
        <c:axId val="208483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750848"/>
        <c:crosses val="autoZero"/>
        <c:auto val="1"/>
        <c:lblAlgn val="ctr"/>
        <c:lblOffset val="100"/>
        <c:noMultiLvlLbl val="0"/>
      </c:catAx>
      <c:valAx>
        <c:axId val="171075084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83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Excel.xlsx]Pivot-Analysis!TimeProfitProfitRaio</c:name>
    <c:fmtId val="17"/>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cked"/>
        <c:varyColors val="0"/>
        <c:ser>
          <c:idx val="0"/>
          <c:order val="0"/>
          <c:tx>
            <c:strRef>
              <c:f>'Pivot-Analysis'!$B$468</c:f>
              <c:strCache>
                <c:ptCount val="1"/>
                <c:pt idx="0">
                  <c:v>Sum of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'Pivot-Analysis'!$A$469:$A$487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'Pivot-Analysis'!$B$469:$B$487</c:f>
              <c:numCache>
                <c:formatCode>General</c:formatCode>
                <c:ptCount val="16"/>
                <c:pt idx="0">
                  <c:v>763603.03</c:v>
                </c:pt>
                <c:pt idx="1">
                  <c:v>1657795.0999999999</c:v>
                </c:pt>
                <c:pt idx="2">
                  <c:v>765502.3</c:v>
                </c:pt>
                <c:pt idx="3">
                  <c:v>691564.08000000007</c:v>
                </c:pt>
                <c:pt idx="4">
                  <c:v>814028.69000000006</c:v>
                </c:pt>
                <c:pt idx="5">
                  <c:v>1148547.3899999999</c:v>
                </c:pt>
                <c:pt idx="6">
                  <c:v>669866.87</c:v>
                </c:pt>
                <c:pt idx="7">
                  <c:v>929984.58</c:v>
                </c:pt>
                <c:pt idx="8">
                  <c:v>828640.06</c:v>
                </c:pt>
                <c:pt idx="9">
                  <c:v>1473753.8199999998</c:v>
                </c:pt>
                <c:pt idx="10">
                  <c:v>923865.68999999983</c:v>
                </c:pt>
                <c:pt idx="11">
                  <c:v>791066.42</c:v>
                </c:pt>
                <c:pt idx="12">
                  <c:v>1023132.24</c:v>
                </c:pt>
                <c:pt idx="13">
                  <c:v>1781985.9200000004</c:v>
                </c:pt>
                <c:pt idx="14">
                  <c:v>604600.19999999995</c:v>
                </c:pt>
                <c:pt idx="15">
                  <c:v>2025765.9000000001</c:v>
                </c:pt>
              </c:numCache>
            </c:numRef>
          </c:val>
          <c:smooth val="0"/>
          <c:extLst>
            <c:ext xmlns:c16="http://schemas.microsoft.com/office/drawing/2014/chart" uri="{C3380CC4-5D6E-409C-BE32-E72D297353CC}">
              <c16:uniqueId val="{00000000-911D-4E78-97DB-F6FF9B6ACD5D}"/>
            </c:ext>
          </c:extLst>
        </c:ser>
        <c:dLbls>
          <c:showLegendKey val="0"/>
          <c:showVal val="0"/>
          <c:showCatName val="0"/>
          <c:showSerName val="0"/>
          <c:showPercent val="0"/>
          <c:showBubbleSize val="0"/>
        </c:dLbls>
        <c:marker val="1"/>
        <c:smooth val="0"/>
        <c:axId val="2066189680"/>
        <c:axId val="2074025936"/>
      </c:lineChart>
      <c:lineChart>
        <c:grouping val="stacked"/>
        <c:varyColors val="0"/>
        <c:ser>
          <c:idx val="1"/>
          <c:order val="1"/>
          <c:tx>
            <c:strRef>
              <c:f>'Pivot-Analysis'!$C$468</c:f>
              <c:strCache>
                <c:ptCount val="1"/>
                <c:pt idx="0">
                  <c:v>Average of Profit Ratio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'Pivot-Analysis'!$A$469:$A$487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'Pivot-Analysis'!$C$469:$C$487</c:f>
              <c:numCache>
                <c:formatCode>0%</c:formatCode>
                <c:ptCount val="16"/>
                <c:pt idx="0">
                  <c:v>0.65189358974358946</c:v>
                </c:pt>
                <c:pt idx="1">
                  <c:v>0.65565970695970699</c:v>
                </c:pt>
                <c:pt idx="2">
                  <c:v>0.64434816849816856</c:v>
                </c:pt>
                <c:pt idx="3">
                  <c:v>0.65075476190476178</c:v>
                </c:pt>
                <c:pt idx="4">
                  <c:v>0.64542438240998068</c:v>
                </c:pt>
                <c:pt idx="5">
                  <c:v>0.66613937728937711</c:v>
                </c:pt>
                <c:pt idx="6">
                  <c:v>0.64331190476190447</c:v>
                </c:pt>
                <c:pt idx="7">
                  <c:v>0.66921850480884548</c:v>
                </c:pt>
                <c:pt idx="8">
                  <c:v>0.6293384615384614</c:v>
                </c:pt>
                <c:pt idx="9">
                  <c:v>0.68883296703296726</c:v>
                </c:pt>
                <c:pt idx="10">
                  <c:v>0.63799396927049357</c:v>
                </c:pt>
                <c:pt idx="11">
                  <c:v>0.65749029304029294</c:v>
                </c:pt>
                <c:pt idx="12">
                  <c:v>0.67919010989010964</c:v>
                </c:pt>
                <c:pt idx="13">
                  <c:v>0.61800036630036637</c:v>
                </c:pt>
                <c:pt idx="14">
                  <c:v>0.64712912087912089</c:v>
                </c:pt>
                <c:pt idx="15">
                  <c:v>0.65912655677655696</c:v>
                </c:pt>
              </c:numCache>
            </c:numRef>
          </c:val>
          <c:smooth val="0"/>
          <c:extLst>
            <c:ext xmlns:c16="http://schemas.microsoft.com/office/drawing/2014/chart" uri="{C3380CC4-5D6E-409C-BE32-E72D297353CC}">
              <c16:uniqueId val="{00000001-911D-4E78-97DB-F6FF9B6ACD5D}"/>
            </c:ext>
          </c:extLst>
        </c:ser>
        <c:dLbls>
          <c:showLegendKey val="0"/>
          <c:showVal val="0"/>
          <c:showCatName val="0"/>
          <c:showSerName val="0"/>
          <c:showPercent val="0"/>
          <c:showBubbleSize val="0"/>
        </c:dLbls>
        <c:marker val="1"/>
        <c:smooth val="0"/>
        <c:axId val="2084809696"/>
        <c:axId val="1710750016"/>
      </c:lineChart>
      <c:catAx>
        <c:axId val="206618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025936"/>
        <c:crosses val="autoZero"/>
        <c:auto val="1"/>
        <c:lblAlgn val="ctr"/>
        <c:lblOffset val="100"/>
        <c:noMultiLvlLbl val="0"/>
      </c:catAx>
      <c:valAx>
        <c:axId val="207402593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189680"/>
        <c:crosses val="autoZero"/>
        <c:crossBetween val="between"/>
      </c:valAx>
      <c:valAx>
        <c:axId val="17107500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809696"/>
        <c:crosses val="max"/>
        <c:crossBetween val="between"/>
      </c:valAx>
      <c:catAx>
        <c:axId val="2084809696"/>
        <c:scaling>
          <c:orientation val="minMax"/>
        </c:scaling>
        <c:delete val="1"/>
        <c:axPos val="b"/>
        <c:numFmt formatCode="General" sourceLinked="1"/>
        <c:majorTickMark val="out"/>
        <c:minorTickMark val="none"/>
        <c:tickLblPos val="nextTo"/>
        <c:crossAx val="17107500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Excel.xlsx]Pivot-Analysis!MarketProfit</c:name>
    <c:fmtId val="9"/>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833333333333336"/>
              <c:y val="-0.111111111111111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6.1111111111111109E-2"/>
              <c:y val="-0.1157407407407407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'Pivot-Analysis'!$B$496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5E4-47A2-98AC-56A27F5759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05E4-47A2-98AC-56A27F57599B}"/>
              </c:ext>
            </c:extLst>
          </c:dPt>
          <c:dLbls>
            <c:dLbl>
              <c:idx val="0"/>
              <c:layout>
                <c:manualLayout>
                  <c:x val="6.1111111111111109E-2"/>
                  <c:y val="-0.1157407407407407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E4-47A2-98AC-56A27F57599B}"/>
                </c:ext>
              </c:extLst>
            </c:dLbl>
            <c:dLbl>
              <c:idx val="1"/>
              <c:layout>
                <c:manualLayout>
                  <c:x val="-0.10833333333333336"/>
                  <c:y val="-0.111111111111111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E4-47A2-98AC-56A27F57599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'Pivot-Analysis'!$A$497:$A$499</c:f>
              <c:strCache>
                <c:ptCount val="2"/>
                <c:pt idx="0">
                  <c:v>Europe</c:v>
                </c:pt>
                <c:pt idx="1">
                  <c:v>North America</c:v>
                </c:pt>
              </c:strCache>
            </c:strRef>
          </c:cat>
          <c:val>
            <c:numRef>
              <c:f>'Pivot-Analysis'!$B$497:$B$499</c:f>
              <c:numCache>
                <c:formatCode>General</c:formatCode>
                <c:ptCount val="2"/>
                <c:pt idx="0">
                  <c:v>7461409.6099999994</c:v>
                </c:pt>
                <c:pt idx="1">
                  <c:v>9432292.6800000016</c:v>
                </c:pt>
              </c:numCache>
            </c:numRef>
          </c:val>
          <c:extLst>
            <c:ext xmlns:c16="http://schemas.microsoft.com/office/drawing/2014/chart" uri="{C3380CC4-5D6E-409C-BE32-E72D297353CC}">
              <c16:uniqueId val="{00000000-05E4-47A2-98AC-56A27F57599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Excel.xlsx]Pivot-Analysis!Max_Sales</c:name>
    <c:fmtId val="16"/>
  </c:pivotSource>
  <c:chart>
    <c:autoTitleDeleted val="1"/>
    <c:pivotFmts>
      <c:pivotFmt>
        <c:idx val="0"/>
        <c:spPr>
          <a:noFill/>
          <a:ln>
            <a:noFill/>
          </a:ln>
          <a:effectLst/>
        </c:spPr>
        <c:marker>
          <c:symbol val="none"/>
        </c:marker>
      </c:pivotFmt>
    </c:pivotFmts>
    <c:plotArea>
      <c:layout>
        <c:manualLayout>
          <c:layoutTarget val="inner"/>
          <c:xMode val="edge"/>
          <c:yMode val="edge"/>
          <c:x val="0.12222216875670658"/>
          <c:y val="0"/>
          <c:w val="0.87777783124329345"/>
          <c:h val="0.45905210389623657"/>
        </c:manualLayout>
      </c:layout>
      <c:barChart>
        <c:barDir val="col"/>
        <c:grouping val="clustered"/>
        <c:varyColors val="0"/>
        <c:ser>
          <c:idx val="0"/>
          <c:order val="0"/>
          <c:tx>
            <c:strRef>
              <c:f>'Pivot-Analysis'!$B$515</c:f>
              <c:strCache>
                <c:ptCount val="1"/>
                <c:pt idx="0">
                  <c:v>Total</c:v>
                </c:pt>
              </c:strCache>
            </c:strRef>
          </c:tx>
          <c:spPr>
            <a:noFill/>
            <a:ln>
              <a:noFill/>
            </a:ln>
            <a:effectLst/>
          </c:spPr>
          <c:invertIfNegative val="0"/>
          <c:cat>
            <c:strRef>
              <c:f>'Pivot-Analysis'!$A$516:$A$521</c:f>
              <c:strCache>
                <c:ptCount val="5"/>
                <c:pt idx="0">
                  <c:v>Canada</c:v>
                </c:pt>
                <c:pt idx="1">
                  <c:v>France</c:v>
                </c:pt>
                <c:pt idx="2">
                  <c:v>Germany</c:v>
                </c:pt>
                <c:pt idx="3">
                  <c:v>Mexico</c:v>
                </c:pt>
                <c:pt idx="4">
                  <c:v>United States of America</c:v>
                </c:pt>
              </c:strCache>
            </c:strRef>
          </c:cat>
          <c:val>
            <c:numRef>
              <c:f>'Pivot-Analysis'!$B$516:$B$521</c:f>
              <c:numCache>
                <c:formatCode>0.0,,"M"</c:formatCode>
                <c:ptCount val="5"/>
                <c:pt idx="0">
                  <c:v>24887654.889999993</c:v>
                </c:pt>
                <c:pt idx="1">
                  <c:v>24354172.289999995</c:v>
                </c:pt>
                <c:pt idx="2">
                  <c:v>23505340.82</c:v>
                </c:pt>
                <c:pt idx="3">
                  <c:v>20949352.109999999</c:v>
                </c:pt>
                <c:pt idx="4">
                  <c:v>25029830.18</c:v>
                </c:pt>
              </c:numCache>
            </c:numRef>
          </c:val>
          <c:extLst>
            <c:ext xmlns:c16="http://schemas.microsoft.com/office/drawing/2014/chart" uri="{C3380CC4-5D6E-409C-BE32-E72D297353CC}">
              <c16:uniqueId val="{00000000-2A9E-43F8-8605-3395699B2194}"/>
            </c:ext>
          </c:extLst>
        </c:ser>
        <c:dLbls>
          <c:showLegendKey val="0"/>
          <c:showVal val="0"/>
          <c:showCatName val="0"/>
          <c:showSerName val="0"/>
          <c:showPercent val="0"/>
          <c:showBubbleSize val="0"/>
        </c:dLbls>
        <c:gapWidth val="219"/>
        <c:overlap val="-27"/>
        <c:axId val="1986985136"/>
        <c:axId val="1599719280"/>
      </c:barChart>
      <c:catAx>
        <c:axId val="1986985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599719280"/>
        <c:crossesAt val="0"/>
        <c:auto val="1"/>
        <c:lblAlgn val="ctr"/>
        <c:lblOffset val="100"/>
        <c:noMultiLvlLbl val="0"/>
      </c:catAx>
      <c:valAx>
        <c:axId val="1599719280"/>
        <c:scaling>
          <c:orientation val="minMax"/>
        </c:scaling>
        <c:delete val="0"/>
        <c:axPos val="l"/>
        <c:majorGridlines>
          <c:spPr>
            <a:ln w="9525" cap="flat" cmpd="sng" algn="ctr">
              <a:noFill/>
              <a:round/>
            </a:ln>
            <a:effectLst/>
          </c:spPr>
        </c:majorGridlines>
        <c:numFmt formatCode="0.0,,&quot;M&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98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[Mini Project Data - Sales &amp; Profit Analysis with Excel.xlsx]Pivot-Analysis!PivotTable12</c:name>
    <c:fmtId val="16"/>
  </c:pivotSource>
  <c:chart>
    <c:autoTitleDeleted val="1"/>
    <c:pivotFmts>
      <c:pivotFmt>
        <c:idx val="0"/>
        <c:spPr>
          <a:noFill/>
          <a:ln>
            <a:noFill/>
          </a:ln>
          <a:effectLst/>
        </c:spPr>
        <c:marker>
          <c:symbol val="none"/>
        </c:marker>
      </c:pivotFmt>
      <c:pivotFmt>
        <c:idx val="1"/>
        <c:spPr>
          <a:noFill/>
          <a:ln>
            <a:noFill/>
          </a:ln>
          <a:effectLst/>
        </c:spPr>
        <c:marker>
          <c:symbol val="none"/>
        </c:marker>
      </c:pivotFmt>
    </c:pivotFmts>
    <c:plotArea>
      <c:layout/>
      <c:barChart>
        <c:barDir val="col"/>
        <c:grouping val="clustered"/>
        <c:varyColors val="0"/>
        <c:ser>
          <c:idx val="0"/>
          <c:order val="0"/>
          <c:tx>
            <c:strRef>
              <c:f>'Pivot-Analysis'!$B$529</c:f>
              <c:strCache>
                <c:ptCount val="1"/>
                <c:pt idx="0">
                  <c:v>Total</c:v>
                </c:pt>
              </c:strCache>
            </c:strRef>
          </c:tx>
          <c:spPr>
            <a:noFill/>
            <a:ln>
              <a:noFill/>
            </a:ln>
            <a:effectLst/>
          </c:spPr>
          <c:invertIfNegative val="0"/>
          <c:cat>
            <c:strRef>
              <c:f>'Pivot-Analysis'!$A$530:$A$535</c:f>
              <c:strCache>
                <c:ptCount val="5"/>
                <c:pt idx="0">
                  <c:v>Canada</c:v>
                </c:pt>
                <c:pt idx="1">
                  <c:v>France</c:v>
                </c:pt>
                <c:pt idx="2">
                  <c:v>Germany</c:v>
                </c:pt>
                <c:pt idx="3">
                  <c:v>Mexico</c:v>
                </c:pt>
                <c:pt idx="4">
                  <c:v>United States of America</c:v>
                </c:pt>
              </c:strCache>
            </c:strRef>
          </c:cat>
          <c:val>
            <c:numRef>
              <c:f>'Pivot-Analysis'!$B$530:$B$535</c:f>
              <c:numCache>
                <c:formatCode>0.0,,"M"</c:formatCode>
                <c:ptCount val="5"/>
                <c:pt idx="0">
                  <c:v>3529228.89</c:v>
                </c:pt>
                <c:pt idx="1">
                  <c:v>3781020.79</c:v>
                </c:pt>
                <c:pt idx="2">
                  <c:v>3680388.8200000012</c:v>
                </c:pt>
                <c:pt idx="3">
                  <c:v>2907523.1100000003</c:v>
                </c:pt>
                <c:pt idx="4">
                  <c:v>2995540.6799999997</c:v>
                </c:pt>
              </c:numCache>
            </c:numRef>
          </c:val>
          <c:extLst>
            <c:ext xmlns:c16="http://schemas.microsoft.com/office/drawing/2014/chart" uri="{C3380CC4-5D6E-409C-BE32-E72D297353CC}">
              <c16:uniqueId val="{00000000-2A9E-43F8-8605-3395699B2194}"/>
            </c:ext>
          </c:extLst>
        </c:ser>
        <c:dLbls>
          <c:showLegendKey val="0"/>
          <c:showVal val="0"/>
          <c:showCatName val="0"/>
          <c:showSerName val="0"/>
          <c:showPercent val="0"/>
          <c:showBubbleSize val="0"/>
        </c:dLbls>
        <c:gapWidth val="219"/>
        <c:overlap val="-27"/>
        <c:axId val="1986985136"/>
        <c:axId val="1599719280"/>
      </c:barChart>
      <c:catAx>
        <c:axId val="1986985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599719280"/>
        <c:crossesAt val="0"/>
        <c:auto val="1"/>
        <c:lblAlgn val="ctr"/>
        <c:lblOffset val="100"/>
        <c:noMultiLvlLbl val="0"/>
      </c:catAx>
      <c:valAx>
        <c:axId val="1599719280"/>
        <c:scaling>
          <c:orientation val="minMax"/>
        </c:scaling>
        <c:delete val="0"/>
        <c:axPos val="l"/>
        <c:majorGridlines>
          <c:spPr>
            <a:ln w="9525" cap="flat" cmpd="sng" algn="ctr">
              <a:noFill/>
              <a:round/>
            </a:ln>
            <a:effectLst/>
          </c:spPr>
        </c:majorGridlines>
        <c:numFmt formatCode="0.0,,&quot;M&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985136"/>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[Mini Project Data - Sales &amp; Profit Analysis with Excel.xlsx]Pivot-Analysis!Min_Sales</c:name>
    <c:fmtId val="23"/>
  </c:pivotSource>
  <c:chart>
    <c:autoTitleDeleted val="1"/>
    <c:pivotFmts>
      <c:pivotFmt>
        <c:idx val="0"/>
        <c:spPr>
          <a:noFill/>
          <a:ln>
            <a:noFill/>
          </a:ln>
          <a:effectLst/>
        </c:spPr>
        <c:marker>
          <c:symbol val="none"/>
        </c:marker>
      </c:pivotFmt>
      <c:pivotFmt>
        <c:idx val="1"/>
        <c:spPr>
          <a:noFill/>
          <a:ln>
            <a:noFill/>
          </a:ln>
          <a:effectLst/>
        </c:spPr>
        <c:marker>
          <c:symbol val="none"/>
        </c:marker>
      </c:pivotFmt>
    </c:pivotFmts>
    <c:plotArea>
      <c:layout/>
      <c:barChart>
        <c:barDir val="col"/>
        <c:grouping val="clustered"/>
        <c:varyColors val="0"/>
        <c:ser>
          <c:idx val="0"/>
          <c:order val="0"/>
          <c:tx>
            <c:strRef>
              <c:f>'Pivot-Analysis'!$B$543</c:f>
              <c:strCache>
                <c:ptCount val="1"/>
                <c:pt idx="0">
                  <c:v>Total</c:v>
                </c:pt>
              </c:strCache>
            </c:strRef>
          </c:tx>
          <c:spPr>
            <a:noFill/>
            <a:ln>
              <a:noFill/>
            </a:ln>
            <a:effectLst/>
          </c:spPr>
          <c:invertIfNegative val="0"/>
          <c:cat>
            <c:strRef>
              <c:f>'Pivot-Analysis'!$A$544:$A$549</c:f>
              <c:strCache>
                <c:ptCount val="5"/>
                <c:pt idx="0">
                  <c:v>Canada</c:v>
                </c:pt>
                <c:pt idx="1">
                  <c:v>France</c:v>
                </c:pt>
                <c:pt idx="2">
                  <c:v>Germany</c:v>
                </c:pt>
                <c:pt idx="3">
                  <c:v>Mexico</c:v>
                </c:pt>
                <c:pt idx="4">
                  <c:v>United States of America</c:v>
                </c:pt>
              </c:strCache>
            </c:strRef>
          </c:cat>
          <c:val>
            <c:numRef>
              <c:f>'Pivot-Analysis'!$B$544:$B$549</c:f>
              <c:numCache>
                <c:formatCode>0,,"M"</c:formatCode>
                <c:ptCount val="5"/>
                <c:pt idx="0">
                  <c:v>24887654.889999993</c:v>
                </c:pt>
                <c:pt idx="1">
                  <c:v>24354172.289999995</c:v>
                </c:pt>
                <c:pt idx="2">
                  <c:v>23505340.82</c:v>
                </c:pt>
                <c:pt idx="3">
                  <c:v>20949352.109999999</c:v>
                </c:pt>
                <c:pt idx="4">
                  <c:v>25029830.18</c:v>
                </c:pt>
              </c:numCache>
            </c:numRef>
          </c:val>
          <c:extLst>
            <c:ext xmlns:c16="http://schemas.microsoft.com/office/drawing/2014/chart" uri="{C3380CC4-5D6E-409C-BE32-E72D297353CC}">
              <c16:uniqueId val="{00000000-2A9E-43F8-8605-3395699B2194}"/>
            </c:ext>
          </c:extLst>
        </c:ser>
        <c:dLbls>
          <c:showLegendKey val="0"/>
          <c:showVal val="0"/>
          <c:showCatName val="0"/>
          <c:showSerName val="0"/>
          <c:showPercent val="0"/>
          <c:showBubbleSize val="0"/>
        </c:dLbls>
        <c:gapWidth val="219"/>
        <c:overlap val="-27"/>
        <c:axId val="1986985136"/>
        <c:axId val="1599719280"/>
      </c:barChart>
      <c:catAx>
        <c:axId val="1986985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599719280"/>
        <c:crossesAt val="0"/>
        <c:auto val="1"/>
        <c:lblAlgn val="ctr"/>
        <c:lblOffset val="100"/>
        <c:noMultiLvlLbl val="0"/>
      </c:catAx>
      <c:valAx>
        <c:axId val="1599719280"/>
        <c:scaling>
          <c:orientation val="minMax"/>
        </c:scaling>
        <c:delete val="0"/>
        <c:axPos val="l"/>
        <c:majorGridlines>
          <c:spPr>
            <a:ln w="9525" cap="flat" cmpd="sng" algn="ctr">
              <a:noFill/>
              <a:round/>
            </a:ln>
            <a:effectLst/>
          </c:spPr>
        </c:majorGridlines>
        <c:numFmt formatCode="0,,&quot;M&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985136"/>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[Mini Project Data - Sales &amp; Profit Analysis with Excel.xlsx]Pivot-Analysis!Min_Profit</c:name>
    <c:fmtId val="17"/>
  </c:pivotSource>
  <c:chart>
    <c:autoTitleDeleted val="1"/>
    <c:pivotFmts>
      <c:pivotFmt>
        <c:idx val="0"/>
        <c:spPr>
          <a:noFill/>
          <a:ln>
            <a:noFill/>
          </a:ln>
          <a:effectLst/>
        </c:spPr>
        <c:marker>
          <c:symbol val="none"/>
        </c:marker>
      </c:pivotFmt>
      <c:pivotFmt>
        <c:idx val="1"/>
        <c:spPr>
          <a:noFill/>
          <a:ln>
            <a:noFill/>
          </a:ln>
          <a:effectLst/>
        </c:spPr>
        <c:marker>
          <c:symbol val="none"/>
        </c:marker>
      </c:pivotFmt>
    </c:pivotFmts>
    <c:plotArea>
      <c:layout/>
      <c:barChart>
        <c:barDir val="col"/>
        <c:grouping val="clustered"/>
        <c:varyColors val="0"/>
        <c:ser>
          <c:idx val="0"/>
          <c:order val="0"/>
          <c:tx>
            <c:strRef>
              <c:f>'Pivot-Analysis'!$B$556</c:f>
              <c:strCache>
                <c:ptCount val="1"/>
                <c:pt idx="0">
                  <c:v>Total</c:v>
                </c:pt>
              </c:strCache>
            </c:strRef>
          </c:tx>
          <c:spPr>
            <a:noFill/>
            <a:ln>
              <a:noFill/>
            </a:ln>
            <a:effectLst/>
          </c:spPr>
          <c:invertIfNegative val="0"/>
          <c:cat>
            <c:strRef>
              <c:f>'Pivot-Analysis'!$A$557:$A$562</c:f>
              <c:strCache>
                <c:ptCount val="5"/>
                <c:pt idx="0">
                  <c:v>Canada</c:v>
                </c:pt>
                <c:pt idx="1">
                  <c:v>France</c:v>
                </c:pt>
                <c:pt idx="2">
                  <c:v>Germany</c:v>
                </c:pt>
                <c:pt idx="3">
                  <c:v>Mexico</c:v>
                </c:pt>
                <c:pt idx="4">
                  <c:v>United States of America</c:v>
                </c:pt>
              </c:strCache>
            </c:strRef>
          </c:cat>
          <c:val>
            <c:numRef>
              <c:f>'Pivot-Analysis'!$B$557:$B$562</c:f>
              <c:numCache>
                <c:formatCode>0,,"M"</c:formatCode>
                <c:ptCount val="5"/>
                <c:pt idx="0">
                  <c:v>3529228.89</c:v>
                </c:pt>
                <c:pt idx="1">
                  <c:v>3781020.79</c:v>
                </c:pt>
                <c:pt idx="2">
                  <c:v>3680388.8200000012</c:v>
                </c:pt>
                <c:pt idx="3">
                  <c:v>2907523.1100000003</c:v>
                </c:pt>
                <c:pt idx="4">
                  <c:v>2995540.6799999997</c:v>
                </c:pt>
              </c:numCache>
            </c:numRef>
          </c:val>
          <c:extLst>
            <c:ext xmlns:c16="http://schemas.microsoft.com/office/drawing/2014/chart" uri="{C3380CC4-5D6E-409C-BE32-E72D297353CC}">
              <c16:uniqueId val="{00000000-2A9E-43F8-8605-3395699B2194}"/>
            </c:ext>
          </c:extLst>
        </c:ser>
        <c:dLbls>
          <c:showLegendKey val="0"/>
          <c:showVal val="0"/>
          <c:showCatName val="0"/>
          <c:showSerName val="0"/>
          <c:showPercent val="0"/>
          <c:showBubbleSize val="0"/>
        </c:dLbls>
        <c:gapWidth val="219"/>
        <c:overlap val="-27"/>
        <c:axId val="1986985136"/>
        <c:axId val="1599719280"/>
      </c:barChart>
      <c:catAx>
        <c:axId val="1986985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599719280"/>
        <c:crossesAt val="0"/>
        <c:auto val="1"/>
        <c:lblAlgn val="ctr"/>
        <c:lblOffset val="100"/>
        <c:noMultiLvlLbl val="0"/>
      </c:catAx>
      <c:valAx>
        <c:axId val="1599719280"/>
        <c:scaling>
          <c:orientation val="minMax"/>
        </c:scaling>
        <c:delete val="0"/>
        <c:axPos val="l"/>
        <c:majorGridlines>
          <c:spPr>
            <a:ln w="9525" cap="flat" cmpd="sng" algn="ctr">
              <a:noFill/>
              <a:round/>
            </a:ln>
            <a:effectLst/>
          </c:spPr>
        </c:majorGridlines>
        <c:numFmt formatCode="0,,&quot;M&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985136"/>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Excel.xlsx]Pivot-Analysis!Max_Sales</c:name>
    <c:fmtId val="25"/>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'Pivot-Analysis'!$B$515</c:f>
              <c:strCache>
                <c:ptCount val="1"/>
                <c:pt idx="0">
                  <c:v>Total</c:v>
                </c:pt>
              </c:strCache>
            </c:strRef>
          </c:tx>
          <c:spPr>
            <a:solidFill>
              <a:schemeClr val="accent1"/>
            </a:solidFill>
            <a:ln>
              <a:noFill/>
            </a:ln>
            <a:effectLst/>
          </c:spPr>
          <c:cat>
            <c:strRef>
              <c:f>'Pivot-Analysis'!$A$516:$A$521</c:f>
              <c:strCache>
                <c:ptCount val="5"/>
                <c:pt idx="0">
                  <c:v>Canada</c:v>
                </c:pt>
                <c:pt idx="1">
                  <c:v>France</c:v>
                </c:pt>
                <c:pt idx="2">
                  <c:v>Germany</c:v>
                </c:pt>
                <c:pt idx="3">
                  <c:v>Mexico</c:v>
                </c:pt>
                <c:pt idx="4">
                  <c:v>United States of America</c:v>
                </c:pt>
              </c:strCache>
            </c:strRef>
          </c:cat>
          <c:val>
            <c:numRef>
              <c:f>'Pivot-Analysis'!$B$516:$B$521</c:f>
              <c:numCache>
                <c:formatCode>0.0,,"M"</c:formatCode>
                <c:ptCount val="5"/>
                <c:pt idx="0">
                  <c:v>24887654.889999993</c:v>
                </c:pt>
                <c:pt idx="1">
                  <c:v>24354172.289999995</c:v>
                </c:pt>
                <c:pt idx="2">
                  <c:v>23505340.82</c:v>
                </c:pt>
                <c:pt idx="3">
                  <c:v>20949352.109999999</c:v>
                </c:pt>
                <c:pt idx="4">
                  <c:v>25029830.18</c:v>
                </c:pt>
              </c:numCache>
            </c:numRef>
          </c:val>
          <c:extLst>
            <c:ext xmlns:c16="http://schemas.microsoft.com/office/drawing/2014/chart" uri="{C3380CC4-5D6E-409C-BE32-E72D297353CC}">
              <c16:uniqueId val="{00000000-64FC-4DF2-856C-36A66B252A64}"/>
            </c:ext>
          </c:extLst>
        </c:ser>
        <c:dLbls>
          <c:showLegendKey val="0"/>
          <c:showVal val="0"/>
          <c:showCatName val="0"/>
          <c:showSerName val="0"/>
          <c:showPercent val="0"/>
          <c:showBubbleSize val="0"/>
        </c:dLbls>
        <c:axId val="921423503"/>
        <c:axId val="910528415"/>
      </c:areaChart>
      <c:catAx>
        <c:axId val="921423503"/>
        <c:scaling>
          <c:orientation val="minMax"/>
        </c:scaling>
        <c:delete val="1"/>
        <c:axPos val="b"/>
        <c:numFmt formatCode="General" sourceLinked="1"/>
        <c:majorTickMark val="out"/>
        <c:minorTickMark val="none"/>
        <c:tickLblPos val="nextTo"/>
        <c:crossAx val="910528415"/>
        <c:crosses val="autoZero"/>
        <c:auto val="1"/>
        <c:lblAlgn val="ctr"/>
        <c:lblOffset val="100"/>
        <c:noMultiLvlLbl val="0"/>
      </c:catAx>
      <c:valAx>
        <c:axId val="910528415"/>
        <c:scaling>
          <c:orientation val="minMax"/>
        </c:scaling>
        <c:delete val="1"/>
        <c:axPos val="l"/>
        <c:numFmt formatCode="0.0,,&quot;M&quot;" sourceLinked="1"/>
        <c:majorTickMark val="none"/>
        <c:minorTickMark val="none"/>
        <c:tickLblPos val="nextTo"/>
        <c:crossAx val="9214235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Excel.xlsx]Pivot-Analysis!US_Seg_Sales</c:name>
    <c:fmtId val="1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w="25400">
            <a:noFill/>
          </a:ln>
          <a:effectLst/>
        </c:spPr>
        <c:marker>
          <c:symbol val="none"/>
        </c:marker>
      </c:pivotFmt>
      <c:pivotFmt>
        <c:idx val="21"/>
        <c:spPr>
          <a:solidFill>
            <a:schemeClr val="accent1"/>
          </a:solidFill>
          <a:ln w="25400">
            <a:noFill/>
          </a:ln>
          <a:effectLst/>
        </c:spPr>
        <c:marker>
          <c:symbol val="none"/>
        </c:marker>
      </c:pivotFmt>
      <c:pivotFmt>
        <c:idx val="22"/>
        <c:spPr>
          <a:solidFill>
            <a:schemeClr val="accent1"/>
          </a:solidFill>
          <a:ln w="25400">
            <a:noFill/>
          </a:ln>
          <a:effectLst/>
        </c:spPr>
        <c:marker>
          <c:symbol val="none"/>
        </c:marker>
      </c:pivotFmt>
      <c:pivotFmt>
        <c:idx val="23"/>
        <c:spPr>
          <a:solidFill>
            <a:schemeClr val="accent1"/>
          </a:solidFill>
          <a:ln w="25400">
            <a:noFill/>
          </a:ln>
          <a:effectLst/>
        </c:spPr>
        <c:marker>
          <c:symbol val="none"/>
        </c:marker>
      </c:pivotFmt>
      <c:pivotFmt>
        <c:idx val="24"/>
        <c:spPr>
          <a:solidFill>
            <a:schemeClr val="accent1"/>
          </a:solidFill>
          <a:ln w="25400">
            <a:noFill/>
          </a:ln>
          <a:effectLst/>
        </c:spPr>
        <c:marker>
          <c:symbol val="none"/>
        </c:marker>
      </c:pivotFmt>
    </c:pivotFmts>
    <c:plotArea>
      <c:layout/>
      <c:barChart>
        <c:barDir val="col"/>
        <c:grouping val="stacked"/>
        <c:varyColors val="0"/>
        <c:ser>
          <c:idx val="0"/>
          <c:order val="0"/>
          <c:tx>
            <c:strRef>
              <c:f>'Pivot-Analysis'!$B$635:$B$637</c:f>
              <c:strCache>
                <c:ptCount val="1"/>
                <c:pt idx="0">
                  <c:v>United States of America - Channel Partners</c:v>
                </c:pt>
              </c:strCache>
            </c:strRef>
          </c:tx>
          <c:spPr>
            <a:solidFill>
              <a:schemeClr val="accent1"/>
            </a:solidFill>
            <a:ln w="25400">
              <a:noFill/>
            </a:ln>
            <a:effectLst/>
          </c:spPr>
          <c:invertIfNegative val="0"/>
          <c:cat>
            <c:multiLvlStrRef>
              <c:f>'Pivot-Analysis'!$A$638:$A$656</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'Pivot-Analysis'!$B$638:$B$656</c:f>
              <c:numCache>
                <c:formatCode>General</c:formatCode>
                <c:ptCount val="16"/>
                <c:pt idx="0">
                  <c:v>23629.32</c:v>
                </c:pt>
                <c:pt idx="1">
                  <c:v>8337.6</c:v>
                </c:pt>
                <c:pt idx="2">
                  <c:v>10944</c:v>
                </c:pt>
                <c:pt idx="3">
                  <c:v>20794.8</c:v>
                </c:pt>
                <c:pt idx="4">
                  <c:v>21359.52</c:v>
                </c:pt>
                <c:pt idx="5">
                  <c:v>22073.040000000001</c:v>
                </c:pt>
                <c:pt idx="6">
                  <c:v>16876.8</c:v>
                </c:pt>
                <c:pt idx="7">
                  <c:v>23436</c:v>
                </c:pt>
                <c:pt idx="8">
                  <c:v>18421.2</c:v>
                </c:pt>
                <c:pt idx="9">
                  <c:v>26859.84</c:v>
                </c:pt>
                <c:pt idx="10">
                  <c:v>15940.98</c:v>
                </c:pt>
                <c:pt idx="11">
                  <c:v>25692</c:v>
                </c:pt>
                <c:pt idx="12">
                  <c:v>22663.08</c:v>
                </c:pt>
                <c:pt idx="13">
                  <c:v>60144.959999999999</c:v>
                </c:pt>
                <c:pt idx="14">
                  <c:v>30715.439999999999</c:v>
                </c:pt>
                <c:pt idx="15">
                  <c:v>18645.599999999999</c:v>
                </c:pt>
              </c:numCache>
            </c:numRef>
          </c:val>
          <c:extLst>
            <c:ext xmlns:c16="http://schemas.microsoft.com/office/drawing/2014/chart" uri="{C3380CC4-5D6E-409C-BE32-E72D297353CC}">
              <c16:uniqueId val="{00000000-9CE5-43B0-AD97-4D9C7D9BEC60}"/>
            </c:ext>
          </c:extLst>
        </c:ser>
        <c:ser>
          <c:idx val="1"/>
          <c:order val="1"/>
          <c:tx>
            <c:strRef>
              <c:f>'Pivot-Analysis'!$C$635:$C$637</c:f>
              <c:strCache>
                <c:ptCount val="1"/>
                <c:pt idx="0">
                  <c:v>United States of America - Enterprise</c:v>
                </c:pt>
              </c:strCache>
            </c:strRef>
          </c:tx>
          <c:spPr>
            <a:solidFill>
              <a:schemeClr val="accent2"/>
            </a:solidFill>
            <a:ln w="25400">
              <a:noFill/>
            </a:ln>
            <a:effectLst/>
          </c:spPr>
          <c:invertIfNegative val="0"/>
          <c:cat>
            <c:multiLvlStrRef>
              <c:f>'Pivot-Analysis'!$A$638:$A$656</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'Pivot-Analysis'!$C$638:$C$656</c:f>
              <c:numCache>
                <c:formatCode>General</c:formatCode>
                <c:ptCount val="16"/>
                <c:pt idx="0">
                  <c:v>40837.5</c:v>
                </c:pt>
                <c:pt idx="1">
                  <c:v>164092.5</c:v>
                </c:pt>
                <c:pt idx="2">
                  <c:v>202950</c:v>
                </c:pt>
                <c:pt idx="3">
                  <c:v>259037.5</c:v>
                </c:pt>
                <c:pt idx="4">
                  <c:v>65137.5</c:v>
                </c:pt>
                <c:pt idx="5">
                  <c:v>323712.5</c:v>
                </c:pt>
                <c:pt idx="6">
                  <c:v>355300</c:v>
                </c:pt>
                <c:pt idx="7">
                  <c:v>387618.75</c:v>
                </c:pt>
                <c:pt idx="8">
                  <c:v>305730</c:v>
                </c:pt>
                <c:pt idx="9">
                  <c:v>179932.5</c:v>
                </c:pt>
                <c:pt idx="10">
                  <c:v>430706.25</c:v>
                </c:pt>
                <c:pt idx="11">
                  <c:v>352625</c:v>
                </c:pt>
                <c:pt idx="12">
                  <c:v>179550</c:v>
                </c:pt>
                <c:pt idx="13">
                  <c:v>204487.5</c:v>
                </c:pt>
                <c:pt idx="14">
                  <c:v>262570</c:v>
                </c:pt>
                <c:pt idx="15">
                  <c:v>636317.5</c:v>
                </c:pt>
              </c:numCache>
            </c:numRef>
          </c:val>
          <c:extLst>
            <c:ext xmlns:c16="http://schemas.microsoft.com/office/drawing/2014/chart" uri="{C3380CC4-5D6E-409C-BE32-E72D297353CC}">
              <c16:uniqueId val="{0000001D-9CE5-43B0-AD97-4D9C7D9BEC60}"/>
            </c:ext>
          </c:extLst>
        </c:ser>
        <c:ser>
          <c:idx val="2"/>
          <c:order val="2"/>
          <c:tx>
            <c:strRef>
              <c:f>'Pivot-Analysis'!$D$635:$D$637</c:f>
              <c:strCache>
                <c:ptCount val="1"/>
                <c:pt idx="0">
                  <c:v>United States of America - Government</c:v>
                </c:pt>
              </c:strCache>
            </c:strRef>
          </c:tx>
          <c:spPr>
            <a:solidFill>
              <a:schemeClr val="accent3"/>
            </a:solidFill>
            <a:ln w="25400">
              <a:noFill/>
            </a:ln>
            <a:effectLst/>
          </c:spPr>
          <c:invertIfNegative val="0"/>
          <c:cat>
            <c:multiLvlStrRef>
              <c:f>'Pivot-Analysis'!$A$638:$A$656</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'Pivot-Analysis'!$D$638:$D$656</c:f>
              <c:numCache>
                <c:formatCode>General</c:formatCode>
                <c:ptCount val="16"/>
                <c:pt idx="0">
                  <c:v>133762.6</c:v>
                </c:pt>
                <c:pt idx="1">
                  <c:v>523515.83999999997</c:v>
                </c:pt>
                <c:pt idx="2">
                  <c:v>622848.04</c:v>
                </c:pt>
                <c:pt idx="3">
                  <c:v>131477.78</c:v>
                </c:pt>
                <c:pt idx="4">
                  <c:v>328940.71999999997</c:v>
                </c:pt>
                <c:pt idx="5">
                  <c:v>137018.22</c:v>
                </c:pt>
                <c:pt idx="6">
                  <c:v>600751.27</c:v>
                </c:pt>
                <c:pt idx="7">
                  <c:v>472008.98</c:v>
                </c:pt>
                <c:pt idx="8">
                  <c:v>774049.15</c:v>
                </c:pt>
                <c:pt idx="9">
                  <c:v>484949.76000000001</c:v>
                </c:pt>
                <c:pt idx="10">
                  <c:v>1184757.57</c:v>
                </c:pt>
                <c:pt idx="11">
                  <c:v>942379.32</c:v>
                </c:pt>
                <c:pt idx="12">
                  <c:v>694555.1</c:v>
                </c:pt>
                <c:pt idx="13">
                  <c:v>684765.2</c:v>
                </c:pt>
                <c:pt idx="14">
                  <c:v>382063.56999999995</c:v>
                </c:pt>
                <c:pt idx="15">
                  <c:v>292903</c:v>
                </c:pt>
              </c:numCache>
            </c:numRef>
          </c:val>
          <c:extLst>
            <c:ext xmlns:c16="http://schemas.microsoft.com/office/drawing/2014/chart" uri="{C3380CC4-5D6E-409C-BE32-E72D297353CC}">
              <c16:uniqueId val="{0000001E-9CE5-43B0-AD97-4D9C7D9BEC60}"/>
            </c:ext>
          </c:extLst>
        </c:ser>
        <c:ser>
          <c:idx val="3"/>
          <c:order val="3"/>
          <c:tx>
            <c:strRef>
              <c:f>'Pivot-Analysis'!$E$635:$E$637</c:f>
              <c:strCache>
                <c:ptCount val="1"/>
                <c:pt idx="0">
                  <c:v>United States of America - Midmarket</c:v>
                </c:pt>
              </c:strCache>
            </c:strRef>
          </c:tx>
          <c:spPr>
            <a:solidFill>
              <a:schemeClr val="accent4"/>
            </a:solidFill>
            <a:ln w="25400">
              <a:noFill/>
            </a:ln>
            <a:effectLst/>
          </c:spPr>
          <c:invertIfNegative val="0"/>
          <c:cat>
            <c:multiLvlStrRef>
              <c:f>'Pivot-Analysis'!$A$638:$A$656</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'Pivot-Analysis'!$E$638:$E$656</c:f>
              <c:numCache>
                <c:formatCode>General</c:formatCode>
                <c:ptCount val="16"/>
                <c:pt idx="0">
                  <c:v>40887.449999999997</c:v>
                </c:pt>
                <c:pt idx="1">
                  <c:v>19324.8</c:v>
                </c:pt>
                <c:pt idx="2">
                  <c:v>33633.599999999999</c:v>
                </c:pt>
                <c:pt idx="3">
                  <c:v>28297.5</c:v>
                </c:pt>
                <c:pt idx="4">
                  <c:v>7908.75</c:v>
                </c:pt>
                <c:pt idx="5">
                  <c:v>22482.9</c:v>
                </c:pt>
                <c:pt idx="6">
                  <c:v>8936.4</c:v>
                </c:pt>
                <c:pt idx="7">
                  <c:v>50163.75</c:v>
                </c:pt>
                <c:pt idx="8">
                  <c:v>10665</c:v>
                </c:pt>
                <c:pt idx="9">
                  <c:v>66998.7</c:v>
                </c:pt>
                <c:pt idx="10">
                  <c:v>42713.33</c:v>
                </c:pt>
                <c:pt idx="11">
                  <c:v>30991.8</c:v>
                </c:pt>
                <c:pt idx="12">
                  <c:v>22794.3</c:v>
                </c:pt>
                <c:pt idx="13">
                  <c:v>32514.6</c:v>
                </c:pt>
                <c:pt idx="14">
                  <c:v>28623</c:v>
                </c:pt>
                <c:pt idx="15">
                  <c:v>18450</c:v>
                </c:pt>
              </c:numCache>
            </c:numRef>
          </c:val>
          <c:extLst>
            <c:ext xmlns:c16="http://schemas.microsoft.com/office/drawing/2014/chart" uri="{C3380CC4-5D6E-409C-BE32-E72D297353CC}">
              <c16:uniqueId val="{0000001F-9CE5-43B0-AD97-4D9C7D9BEC60}"/>
            </c:ext>
          </c:extLst>
        </c:ser>
        <c:ser>
          <c:idx val="4"/>
          <c:order val="4"/>
          <c:tx>
            <c:strRef>
              <c:f>'Pivot-Analysis'!$F$635:$F$637</c:f>
              <c:strCache>
                <c:ptCount val="1"/>
                <c:pt idx="0">
                  <c:v>United States of America - Small Business</c:v>
                </c:pt>
              </c:strCache>
            </c:strRef>
          </c:tx>
          <c:spPr>
            <a:solidFill>
              <a:schemeClr val="accent5"/>
            </a:solidFill>
            <a:ln w="25400">
              <a:noFill/>
            </a:ln>
            <a:effectLst/>
          </c:spPr>
          <c:invertIfNegative val="0"/>
          <c:cat>
            <c:multiLvlStrRef>
              <c:f>'Pivot-Analysis'!$A$638:$A$656</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'Pivot-Analysis'!$F$638:$F$656</c:f>
              <c:numCache>
                <c:formatCode>General</c:formatCode>
                <c:ptCount val="16"/>
                <c:pt idx="0">
                  <c:v>741906</c:v>
                </c:pt>
                <c:pt idx="1">
                  <c:v>1238760</c:v>
                </c:pt>
                <c:pt idx="2">
                  <c:v>656370</c:v>
                </c:pt>
                <c:pt idx="3">
                  <c:v>223008</c:v>
                </c:pt>
                <c:pt idx="4">
                  <c:v>922680</c:v>
                </c:pt>
                <c:pt idx="5">
                  <c:v>827604</c:v>
                </c:pt>
                <c:pt idx="6">
                  <c:v>808110</c:v>
                </c:pt>
                <c:pt idx="7">
                  <c:v>683397</c:v>
                </c:pt>
                <c:pt idx="8">
                  <c:v>840384</c:v>
                </c:pt>
                <c:pt idx="9">
                  <c:v>564870</c:v>
                </c:pt>
                <c:pt idx="10">
                  <c:v>634680</c:v>
                </c:pt>
                <c:pt idx="11">
                  <c:v>655578</c:v>
                </c:pt>
                <c:pt idx="12">
                  <c:v>509691</c:v>
                </c:pt>
                <c:pt idx="13">
                  <c:v>521160</c:v>
                </c:pt>
                <c:pt idx="14">
                  <c:v>862785</c:v>
                </c:pt>
                <c:pt idx="15">
                  <c:v>765576</c:v>
                </c:pt>
              </c:numCache>
            </c:numRef>
          </c:val>
          <c:extLst>
            <c:ext xmlns:c16="http://schemas.microsoft.com/office/drawing/2014/chart" uri="{C3380CC4-5D6E-409C-BE32-E72D297353CC}">
              <c16:uniqueId val="{00000020-9CE5-43B0-AD97-4D9C7D9BEC60}"/>
            </c:ext>
          </c:extLst>
        </c:ser>
        <c:dLbls>
          <c:showLegendKey val="0"/>
          <c:showVal val="0"/>
          <c:showCatName val="0"/>
          <c:showSerName val="0"/>
          <c:showPercent val="0"/>
          <c:showBubbleSize val="0"/>
        </c:dLbls>
        <c:gapWidth val="219"/>
        <c:overlap val="100"/>
        <c:axId val="1335135504"/>
        <c:axId val="1351959136"/>
      </c:barChart>
      <c:catAx>
        <c:axId val="133513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959136"/>
        <c:crosses val="autoZero"/>
        <c:auto val="1"/>
        <c:lblAlgn val="ctr"/>
        <c:lblOffset val="100"/>
        <c:noMultiLvlLbl val="0"/>
      </c:catAx>
      <c:valAx>
        <c:axId val="1351959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13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Excel.xlsx]Pivot-Analysis!Canada_Seg_Sales</c:name>
    <c:fmtId val="1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stacked"/>
        <c:varyColors val="0"/>
        <c:ser>
          <c:idx val="0"/>
          <c:order val="0"/>
          <c:tx>
            <c:strRef>
              <c:f>'Pivot-Analysis'!$B$661:$B$663</c:f>
              <c:strCache>
                <c:ptCount val="1"/>
                <c:pt idx="0">
                  <c:v>Canada - Channel Partners</c:v>
                </c:pt>
              </c:strCache>
            </c:strRef>
          </c:tx>
          <c:spPr>
            <a:solidFill>
              <a:schemeClr val="accent1"/>
            </a:solidFill>
            <a:ln>
              <a:noFill/>
            </a:ln>
            <a:effectLst/>
          </c:spPr>
          <c:invertIfNegative val="0"/>
          <c:cat>
            <c:multiLvlStrRef>
              <c:f>'Pivot-Analysis'!$A$664:$A$682</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'Pivot-Analysis'!$B$664:$B$682</c:f>
              <c:numCache>
                <c:formatCode>General</c:formatCode>
                <c:ptCount val="16"/>
                <c:pt idx="0">
                  <c:v>29156.16</c:v>
                </c:pt>
                <c:pt idx="1">
                  <c:v>51865.440000000002</c:v>
                </c:pt>
                <c:pt idx="2">
                  <c:v>22931.040000000001</c:v>
                </c:pt>
                <c:pt idx="3">
                  <c:v>10569.12</c:v>
                </c:pt>
                <c:pt idx="4">
                  <c:v>36208.620000000003</c:v>
                </c:pt>
                <c:pt idx="5">
                  <c:v>20687.16</c:v>
                </c:pt>
                <c:pt idx="6">
                  <c:v>6601.92</c:v>
                </c:pt>
                <c:pt idx="7">
                  <c:v>38021.4</c:v>
                </c:pt>
                <c:pt idx="8">
                  <c:v>22271.040000000001</c:v>
                </c:pt>
                <c:pt idx="9">
                  <c:v>60432</c:v>
                </c:pt>
                <c:pt idx="10">
                  <c:v>42997.68</c:v>
                </c:pt>
                <c:pt idx="11">
                  <c:v>21025.439999999999</c:v>
                </c:pt>
                <c:pt idx="12">
                  <c:v>17166.599999999999</c:v>
                </c:pt>
                <c:pt idx="13">
                  <c:v>30458.400000000001</c:v>
                </c:pt>
                <c:pt idx="14">
                  <c:v>25345.32</c:v>
                </c:pt>
                <c:pt idx="15">
                  <c:v>55426.8</c:v>
                </c:pt>
              </c:numCache>
            </c:numRef>
          </c:val>
          <c:extLst>
            <c:ext xmlns:c16="http://schemas.microsoft.com/office/drawing/2014/chart" uri="{C3380CC4-5D6E-409C-BE32-E72D297353CC}">
              <c16:uniqueId val="{00000000-CAF5-4110-9717-16F237EC25AA}"/>
            </c:ext>
          </c:extLst>
        </c:ser>
        <c:ser>
          <c:idx val="1"/>
          <c:order val="1"/>
          <c:tx>
            <c:strRef>
              <c:f>'Pivot-Analysis'!$C$661:$C$663</c:f>
              <c:strCache>
                <c:ptCount val="1"/>
                <c:pt idx="0">
                  <c:v>Canada - Enterprise</c:v>
                </c:pt>
              </c:strCache>
            </c:strRef>
          </c:tx>
          <c:spPr>
            <a:solidFill>
              <a:schemeClr val="accent2"/>
            </a:solidFill>
            <a:ln>
              <a:noFill/>
            </a:ln>
            <a:effectLst/>
          </c:spPr>
          <c:invertIfNegative val="0"/>
          <c:cat>
            <c:multiLvlStrRef>
              <c:f>'Pivot-Analysis'!$A$664:$A$682</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'Pivot-Analysis'!$C$664:$C$682</c:f>
              <c:numCache>
                <c:formatCode>General</c:formatCode>
                <c:ptCount val="16"/>
                <c:pt idx="0">
                  <c:v>265760</c:v>
                </c:pt>
                <c:pt idx="1">
                  <c:v>86250</c:v>
                </c:pt>
                <c:pt idx="2">
                  <c:v>313862.5</c:v>
                </c:pt>
                <c:pt idx="3">
                  <c:v>215550</c:v>
                </c:pt>
                <c:pt idx="4">
                  <c:v>180416.25</c:v>
                </c:pt>
                <c:pt idx="5">
                  <c:v>111860</c:v>
                </c:pt>
                <c:pt idx="6">
                  <c:v>215097.5</c:v>
                </c:pt>
                <c:pt idx="7">
                  <c:v>90956.25</c:v>
                </c:pt>
                <c:pt idx="8">
                  <c:v>191231.25</c:v>
                </c:pt>
                <c:pt idx="9">
                  <c:v>344302.5</c:v>
                </c:pt>
                <c:pt idx="10">
                  <c:v>333187.5</c:v>
                </c:pt>
                <c:pt idx="11">
                  <c:v>114221.25</c:v>
                </c:pt>
                <c:pt idx="12">
                  <c:v>64496.25</c:v>
                </c:pt>
                <c:pt idx="13">
                  <c:v>487182.5</c:v>
                </c:pt>
                <c:pt idx="14">
                  <c:v>284512.5</c:v>
                </c:pt>
                <c:pt idx="15">
                  <c:v>668605</c:v>
                </c:pt>
              </c:numCache>
            </c:numRef>
          </c:val>
          <c:extLst>
            <c:ext xmlns:c16="http://schemas.microsoft.com/office/drawing/2014/chart" uri="{C3380CC4-5D6E-409C-BE32-E72D297353CC}">
              <c16:uniqueId val="{00000001-CAF5-4110-9717-16F237EC25AA}"/>
            </c:ext>
          </c:extLst>
        </c:ser>
        <c:ser>
          <c:idx val="2"/>
          <c:order val="2"/>
          <c:tx>
            <c:strRef>
              <c:f>'Pivot-Analysis'!$D$661:$D$663</c:f>
              <c:strCache>
                <c:ptCount val="1"/>
                <c:pt idx="0">
                  <c:v>Canada - Government</c:v>
                </c:pt>
              </c:strCache>
            </c:strRef>
          </c:tx>
          <c:spPr>
            <a:solidFill>
              <a:schemeClr val="accent3"/>
            </a:solidFill>
            <a:ln>
              <a:noFill/>
            </a:ln>
            <a:effectLst/>
          </c:spPr>
          <c:invertIfNegative val="0"/>
          <c:cat>
            <c:multiLvlStrRef>
              <c:f>'Pivot-Analysis'!$A$664:$A$682</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'Pivot-Analysis'!$D$664:$D$682</c:f>
              <c:numCache>
                <c:formatCode>General</c:formatCode>
                <c:ptCount val="16"/>
                <c:pt idx="0">
                  <c:v>258308.05</c:v>
                </c:pt>
                <c:pt idx="1">
                  <c:v>907719.44</c:v>
                </c:pt>
                <c:pt idx="2">
                  <c:v>670490.56000000006</c:v>
                </c:pt>
                <c:pt idx="3">
                  <c:v>641908.06999999995</c:v>
                </c:pt>
                <c:pt idx="4">
                  <c:v>731414.22</c:v>
                </c:pt>
                <c:pt idx="5">
                  <c:v>714582.72</c:v>
                </c:pt>
                <c:pt idx="6">
                  <c:v>332004.27999999997</c:v>
                </c:pt>
                <c:pt idx="7">
                  <c:v>405924.3</c:v>
                </c:pt>
                <c:pt idx="8">
                  <c:v>77976.479999999996</c:v>
                </c:pt>
                <c:pt idx="9">
                  <c:v>1643720.1</c:v>
                </c:pt>
                <c:pt idx="10">
                  <c:v>675482.28</c:v>
                </c:pt>
                <c:pt idx="11">
                  <c:v>238835.1</c:v>
                </c:pt>
                <c:pt idx="12">
                  <c:v>264861.56</c:v>
                </c:pt>
                <c:pt idx="13">
                  <c:v>885501.08000000007</c:v>
                </c:pt>
                <c:pt idx="14">
                  <c:v>242758.63999999998</c:v>
                </c:pt>
                <c:pt idx="15">
                  <c:v>2049749.6400000001</c:v>
                </c:pt>
              </c:numCache>
            </c:numRef>
          </c:val>
          <c:extLst>
            <c:ext xmlns:c16="http://schemas.microsoft.com/office/drawing/2014/chart" uri="{C3380CC4-5D6E-409C-BE32-E72D297353CC}">
              <c16:uniqueId val="{00000002-CAF5-4110-9717-16F237EC25AA}"/>
            </c:ext>
          </c:extLst>
        </c:ser>
        <c:ser>
          <c:idx val="3"/>
          <c:order val="3"/>
          <c:tx>
            <c:strRef>
              <c:f>'Pivot-Analysis'!$E$661:$E$663</c:f>
              <c:strCache>
                <c:ptCount val="1"/>
                <c:pt idx="0">
                  <c:v>Canada - Midmarket</c:v>
                </c:pt>
              </c:strCache>
            </c:strRef>
          </c:tx>
          <c:spPr>
            <a:solidFill>
              <a:schemeClr val="accent4"/>
            </a:solidFill>
            <a:ln>
              <a:noFill/>
            </a:ln>
            <a:effectLst/>
          </c:spPr>
          <c:invertIfNegative val="0"/>
          <c:cat>
            <c:multiLvlStrRef>
              <c:f>'Pivot-Analysis'!$A$664:$A$682</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'Pivot-Analysis'!$E$664:$E$682</c:f>
              <c:numCache>
                <c:formatCode>General</c:formatCode>
                <c:ptCount val="16"/>
                <c:pt idx="0">
                  <c:v>31863</c:v>
                </c:pt>
                <c:pt idx="1">
                  <c:v>44969.4</c:v>
                </c:pt>
                <c:pt idx="2">
                  <c:v>20826</c:v>
                </c:pt>
                <c:pt idx="3">
                  <c:v>32280</c:v>
                </c:pt>
                <c:pt idx="4">
                  <c:v>5126.3999999999996</c:v>
                </c:pt>
                <c:pt idx="5">
                  <c:v>34736.1</c:v>
                </c:pt>
                <c:pt idx="6">
                  <c:v>28324.799999999999</c:v>
                </c:pt>
                <c:pt idx="7">
                  <c:v>20578.5</c:v>
                </c:pt>
                <c:pt idx="8">
                  <c:v>17604.900000000001</c:v>
                </c:pt>
                <c:pt idx="9">
                  <c:v>80200.800000000003</c:v>
                </c:pt>
                <c:pt idx="10">
                  <c:v>22256.33</c:v>
                </c:pt>
                <c:pt idx="11">
                  <c:v>32627.25</c:v>
                </c:pt>
                <c:pt idx="12">
                  <c:v>3139.2</c:v>
                </c:pt>
                <c:pt idx="13">
                  <c:v>40846.5</c:v>
                </c:pt>
                <c:pt idx="14">
                  <c:v>35494.800000000003</c:v>
                </c:pt>
                <c:pt idx="15">
                  <c:v>59340</c:v>
                </c:pt>
              </c:numCache>
            </c:numRef>
          </c:val>
          <c:extLst>
            <c:ext xmlns:c16="http://schemas.microsoft.com/office/drawing/2014/chart" uri="{C3380CC4-5D6E-409C-BE32-E72D297353CC}">
              <c16:uniqueId val="{00000003-CAF5-4110-9717-16F237EC25AA}"/>
            </c:ext>
          </c:extLst>
        </c:ser>
        <c:ser>
          <c:idx val="4"/>
          <c:order val="4"/>
          <c:tx>
            <c:strRef>
              <c:f>'Pivot-Analysis'!$F$661:$F$663</c:f>
              <c:strCache>
                <c:ptCount val="1"/>
                <c:pt idx="0">
                  <c:v>Canada - Small Business</c:v>
                </c:pt>
              </c:strCache>
            </c:strRef>
          </c:tx>
          <c:spPr>
            <a:solidFill>
              <a:schemeClr val="accent5"/>
            </a:solidFill>
            <a:ln>
              <a:noFill/>
            </a:ln>
            <a:effectLst/>
          </c:spPr>
          <c:invertIfNegative val="0"/>
          <c:cat>
            <c:multiLvlStrRef>
              <c:f>'Pivot-Analysis'!$A$664:$A$682</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'Pivot-Analysis'!$F$664:$F$682</c:f>
              <c:numCache>
                <c:formatCode>General</c:formatCode>
                <c:ptCount val="16"/>
                <c:pt idx="0">
                  <c:v>354108</c:v>
                </c:pt>
                <c:pt idx="1">
                  <c:v>138804</c:v>
                </c:pt>
                <c:pt idx="2">
                  <c:v>391716</c:v>
                </c:pt>
                <c:pt idx="3">
                  <c:v>686952</c:v>
                </c:pt>
                <c:pt idx="4">
                  <c:v>233091</c:v>
                </c:pt>
                <c:pt idx="5">
                  <c:v>600300</c:v>
                </c:pt>
                <c:pt idx="6">
                  <c:v>229104</c:v>
                </c:pt>
                <c:pt idx="7">
                  <c:v>1038082.5</c:v>
                </c:pt>
                <c:pt idx="8">
                  <c:v>474858</c:v>
                </c:pt>
                <c:pt idx="9">
                  <c:v>597324</c:v>
                </c:pt>
                <c:pt idx="10">
                  <c:v>1035625.5</c:v>
                </c:pt>
                <c:pt idx="11">
                  <c:v>545334</c:v>
                </c:pt>
                <c:pt idx="12">
                  <c:v>588984</c:v>
                </c:pt>
                <c:pt idx="13">
                  <c:v>771936</c:v>
                </c:pt>
                <c:pt idx="14">
                  <c:v>364722</c:v>
                </c:pt>
                <c:pt idx="15">
                  <c:v>1126608</c:v>
                </c:pt>
              </c:numCache>
            </c:numRef>
          </c:val>
          <c:extLst>
            <c:ext xmlns:c16="http://schemas.microsoft.com/office/drawing/2014/chart" uri="{C3380CC4-5D6E-409C-BE32-E72D297353CC}">
              <c16:uniqueId val="{00000004-CAF5-4110-9717-16F237EC25AA}"/>
            </c:ext>
          </c:extLst>
        </c:ser>
        <c:dLbls>
          <c:showLegendKey val="0"/>
          <c:showVal val="0"/>
          <c:showCatName val="0"/>
          <c:showSerName val="0"/>
          <c:showPercent val="0"/>
          <c:showBubbleSize val="0"/>
        </c:dLbls>
        <c:gapWidth val="150"/>
        <c:overlap val="100"/>
        <c:axId val="1171375184"/>
        <c:axId val="1351964960"/>
      </c:barChart>
      <c:catAx>
        <c:axId val="1171375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964960"/>
        <c:crosses val="autoZero"/>
        <c:auto val="1"/>
        <c:lblAlgn val="ctr"/>
        <c:lblOffset val="100"/>
        <c:noMultiLvlLbl val="0"/>
      </c:catAx>
      <c:valAx>
        <c:axId val="135196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375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Excel.xlsx]Pivot-Analysis!France_Seg_Sales</c:name>
    <c:fmtId val="1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barChart>
        <c:barDir val="col"/>
        <c:grouping val="clustered"/>
        <c:varyColors val="0"/>
        <c:ser>
          <c:idx val="0"/>
          <c:order val="0"/>
          <c:tx>
            <c:strRef>
              <c:f>'Pivot-Analysis'!$B$688:$B$690</c:f>
              <c:strCache>
                <c:ptCount val="1"/>
                <c:pt idx="0">
                  <c:v>France - Channel Partners</c:v>
                </c:pt>
              </c:strCache>
            </c:strRef>
          </c:tx>
          <c:spPr>
            <a:solidFill>
              <a:schemeClr val="accent1"/>
            </a:solidFill>
            <a:ln>
              <a:noFill/>
            </a:ln>
            <a:effectLst/>
          </c:spPr>
          <c:invertIfNegative val="0"/>
          <c:cat>
            <c:multiLvlStrRef>
              <c:f>'Pivot-Analysis'!$A$691:$A$709</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'Pivot-Analysis'!$B$691:$B$709</c:f>
              <c:numCache>
                <c:formatCode>General</c:formatCode>
                <c:ptCount val="16"/>
                <c:pt idx="0">
                  <c:v>24395.279999999999</c:v>
                </c:pt>
                <c:pt idx="1">
                  <c:v>25589.279999999999</c:v>
                </c:pt>
                <c:pt idx="2">
                  <c:v>20991.599999999999</c:v>
                </c:pt>
                <c:pt idx="3">
                  <c:v>3341.52</c:v>
                </c:pt>
                <c:pt idx="4">
                  <c:v>18519.12</c:v>
                </c:pt>
                <c:pt idx="5">
                  <c:v>21261</c:v>
                </c:pt>
                <c:pt idx="6">
                  <c:v>21479.64</c:v>
                </c:pt>
                <c:pt idx="7">
                  <c:v>19401.66</c:v>
                </c:pt>
                <c:pt idx="8">
                  <c:v>9976.32</c:v>
                </c:pt>
                <c:pt idx="9">
                  <c:v>44255.28</c:v>
                </c:pt>
                <c:pt idx="10">
                  <c:v>25904.34</c:v>
                </c:pt>
                <c:pt idx="11">
                  <c:v>25542</c:v>
                </c:pt>
                <c:pt idx="12">
                  <c:v>31731.48</c:v>
                </c:pt>
                <c:pt idx="13">
                  <c:v>28751.52</c:v>
                </c:pt>
                <c:pt idx="14">
                  <c:v>26136.720000000001</c:v>
                </c:pt>
                <c:pt idx="15">
                  <c:v>24813.599999999999</c:v>
                </c:pt>
              </c:numCache>
            </c:numRef>
          </c:val>
          <c:extLst>
            <c:ext xmlns:c16="http://schemas.microsoft.com/office/drawing/2014/chart" uri="{C3380CC4-5D6E-409C-BE32-E72D297353CC}">
              <c16:uniqueId val="{00000000-D42D-438A-A06D-C8640FB26449}"/>
            </c:ext>
          </c:extLst>
        </c:ser>
        <c:ser>
          <c:idx val="1"/>
          <c:order val="1"/>
          <c:tx>
            <c:strRef>
              <c:f>'Pivot-Analysis'!$C$688:$C$690</c:f>
              <c:strCache>
                <c:ptCount val="1"/>
                <c:pt idx="0">
                  <c:v>France - Enterprise</c:v>
                </c:pt>
              </c:strCache>
            </c:strRef>
          </c:tx>
          <c:spPr>
            <a:solidFill>
              <a:schemeClr val="accent2"/>
            </a:solidFill>
            <a:ln>
              <a:noFill/>
            </a:ln>
            <a:effectLst/>
          </c:spPr>
          <c:invertIfNegative val="0"/>
          <c:cat>
            <c:multiLvlStrRef>
              <c:f>'Pivot-Analysis'!$A$691:$A$709</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'Pivot-Analysis'!$C$691:$C$709</c:f>
              <c:numCache>
                <c:formatCode>General</c:formatCode>
                <c:ptCount val="16"/>
                <c:pt idx="0">
                  <c:v>109972.5</c:v>
                </c:pt>
                <c:pt idx="1">
                  <c:v>167200</c:v>
                </c:pt>
                <c:pt idx="2">
                  <c:v>211233.75</c:v>
                </c:pt>
                <c:pt idx="3">
                  <c:v>166725</c:v>
                </c:pt>
                <c:pt idx="4">
                  <c:v>233531.25</c:v>
                </c:pt>
                <c:pt idx="5">
                  <c:v>225500</c:v>
                </c:pt>
                <c:pt idx="6">
                  <c:v>283218.75</c:v>
                </c:pt>
                <c:pt idx="7">
                  <c:v>514524.38</c:v>
                </c:pt>
                <c:pt idx="8">
                  <c:v>159421.25</c:v>
                </c:pt>
                <c:pt idx="9">
                  <c:v>194782.5</c:v>
                </c:pt>
                <c:pt idx="10">
                  <c:v>358560</c:v>
                </c:pt>
                <c:pt idx="11">
                  <c:v>124737.5</c:v>
                </c:pt>
                <c:pt idx="12">
                  <c:v>70443.75</c:v>
                </c:pt>
                <c:pt idx="13">
                  <c:v>543122.5</c:v>
                </c:pt>
                <c:pt idx="14">
                  <c:v>215820</c:v>
                </c:pt>
                <c:pt idx="15">
                  <c:v>312097.5</c:v>
                </c:pt>
              </c:numCache>
            </c:numRef>
          </c:val>
          <c:extLst>
            <c:ext xmlns:c16="http://schemas.microsoft.com/office/drawing/2014/chart" uri="{C3380CC4-5D6E-409C-BE32-E72D297353CC}">
              <c16:uniqueId val="{00000001-D42D-438A-A06D-C8640FB26449}"/>
            </c:ext>
          </c:extLst>
        </c:ser>
        <c:ser>
          <c:idx val="2"/>
          <c:order val="2"/>
          <c:tx>
            <c:strRef>
              <c:f>'Pivot-Analysis'!$D$688:$D$690</c:f>
              <c:strCache>
                <c:ptCount val="1"/>
                <c:pt idx="0">
                  <c:v>France - Government</c:v>
                </c:pt>
              </c:strCache>
            </c:strRef>
          </c:tx>
          <c:spPr>
            <a:solidFill>
              <a:schemeClr val="accent3"/>
            </a:solidFill>
            <a:ln>
              <a:noFill/>
            </a:ln>
            <a:effectLst/>
          </c:spPr>
          <c:invertIfNegative val="0"/>
          <c:cat>
            <c:multiLvlStrRef>
              <c:f>'Pivot-Analysis'!$A$691:$A$709</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'Pivot-Analysis'!$D$691:$D$709</c:f>
              <c:numCache>
                <c:formatCode>General</c:formatCode>
                <c:ptCount val="16"/>
                <c:pt idx="0">
                  <c:v>591090.81000000006</c:v>
                </c:pt>
                <c:pt idx="1">
                  <c:v>1450534.68</c:v>
                </c:pt>
                <c:pt idx="2">
                  <c:v>642049.1</c:v>
                </c:pt>
                <c:pt idx="3">
                  <c:v>419412.4</c:v>
                </c:pt>
                <c:pt idx="4">
                  <c:v>532063.5</c:v>
                </c:pt>
                <c:pt idx="5">
                  <c:v>989020.86</c:v>
                </c:pt>
                <c:pt idx="6">
                  <c:v>589411.56000000006</c:v>
                </c:pt>
                <c:pt idx="7">
                  <c:v>277270.56</c:v>
                </c:pt>
                <c:pt idx="8">
                  <c:v>567455.9</c:v>
                </c:pt>
                <c:pt idx="9">
                  <c:v>1074822.2</c:v>
                </c:pt>
                <c:pt idx="10">
                  <c:v>249596.34</c:v>
                </c:pt>
                <c:pt idx="11">
                  <c:v>169101.64</c:v>
                </c:pt>
                <c:pt idx="12">
                  <c:v>968382.76</c:v>
                </c:pt>
                <c:pt idx="13">
                  <c:v>1557292.44</c:v>
                </c:pt>
                <c:pt idx="14">
                  <c:v>513823.87</c:v>
                </c:pt>
                <c:pt idx="15">
                  <c:v>1536454.1</c:v>
                </c:pt>
              </c:numCache>
            </c:numRef>
          </c:val>
          <c:extLst>
            <c:ext xmlns:c16="http://schemas.microsoft.com/office/drawing/2014/chart" uri="{C3380CC4-5D6E-409C-BE32-E72D297353CC}">
              <c16:uniqueId val="{00000002-D42D-438A-A06D-C8640FB26449}"/>
            </c:ext>
          </c:extLst>
        </c:ser>
        <c:ser>
          <c:idx val="3"/>
          <c:order val="3"/>
          <c:tx>
            <c:strRef>
              <c:f>'Pivot-Analysis'!$E$688:$E$690</c:f>
              <c:strCache>
                <c:ptCount val="1"/>
                <c:pt idx="0">
                  <c:v>France - Midmarket</c:v>
                </c:pt>
              </c:strCache>
            </c:strRef>
          </c:tx>
          <c:spPr>
            <a:solidFill>
              <a:schemeClr val="accent4"/>
            </a:solidFill>
            <a:ln>
              <a:noFill/>
            </a:ln>
            <a:effectLst/>
          </c:spPr>
          <c:invertIfNegative val="0"/>
          <c:cat>
            <c:multiLvlStrRef>
              <c:f>'Pivot-Analysis'!$A$691:$A$709</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'Pivot-Analysis'!$E$691:$E$709</c:f>
              <c:numCache>
                <c:formatCode>General</c:formatCode>
                <c:ptCount val="16"/>
                <c:pt idx="0">
                  <c:v>8235</c:v>
                </c:pt>
                <c:pt idx="1">
                  <c:v>58509</c:v>
                </c:pt>
                <c:pt idx="2">
                  <c:v>4766.8500000000004</c:v>
                </c:pt>
                <c:pt idx="3">
                  <c:v>32558.400000000001</c:v>
                </c:pt>
                <c:pt idx="4">
                  <c:v>52167.38</c:v>
                </c:pt>
                <c:pt idx="5">
                  <c:v>34095.599999999999</c:v>
                </c:pt>
                <c:pt idx="6">
                  <c:v>34513.800000000003</c:v>
                </c:pt>
                <c:pt idx="7">
                  <c:v>53594.1</c:v>
                </c:pt>
                <c:pt idx="8">
                  <c:v>36031.5</c:v>
                </c:pt>
                <c:pt idx="9">
                  <c:v>65340</c:v>
                </c:pt>
                <c:pt idx="10">
                  <c:v>51143.4</c:v>
                </c:pt>
                <c:pt idx="11">
                  <c:v>29308.95</c:v>
                </c:pt>
                <c:pt idx="12">
                  <c:v>37335</c:v>
                </c:pt>
                <c:pt idx="13">
                  <c:v>33497.1</c:v>
                </c:pt>
                <c:pt idx="14">
                  <c:v>6762</c:v>
                </c:pt>
                <c:pt idx="15">
                  <c:v>55944</c:v>
                </c:pt>
              </c:numCache>
            </c:numRef>
          </c:val>
          <c:extLst>
            <c:ext xmlns:c16="http://schemas.microsoft.com/office/drawing/2014/chart" uri="{C3380CC4-5D6E-409C-BE32-E72D297353CC}">
              <c16:uniqueId val="{00000003-D42D-438A-A06D-C8640FB26449}"/>
            </c:ext>
          </c:extLst>
        </c:ser>
        <c:ser>
          <c:idx val="4"/>
          <c:order val="4"/>
          <c:tx>
            <c:strRef>
              <c:f>'Pivot-Analysis'!$F$688:$F$690</c:f>
              <c:strCache>
                <c:ptCount val="1"/>
                <c:pt idx="0">
                  <c:v>France - Small Business</c:v>
                </c:pt>
              </c:strCache>
            </c:strRef>
          </c:tx>
          <c:spPr>
            <a:solidFill>
              <a:schemeClr val="accent5"/>
            </a:solidFill>
            <a:ln>
              <a:noFill/>
            </a:ln>
            <a:effectLst/>
          </c:spPr>
          <c:invertIfNegative val="0"/>
          <c:cat>
            <c:multiLvlStrRef>
              <c:f>'Pivot-Analysis'!$A$691:$A$709</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'Pivot-Analysis'!$F$691:$F$709</c:f>
              <c:numCache>
                <c:formatCode>General</c:formatCode>
                <c:ptCount val="16"/>
                <c:pt idx="0">
                  <c:v>87906</c:v>
                </c:pt>
                <c:pt idx="1">
                  <c:v>688644</c:v>
                </c:pt>
                <c:pt idx="2">
                  <c:v>106536</c:v>
                </c:pt>
                <c:pt idx="3">
                  <c:v>313104</c:v>
                </c:pt>
                <c:pt idx="4">
                  <c:v>708439.5</c:v>
                </c:pt>
                <c:pt idx="5">
                  <c:v>267561</c:v>
                </c:pt>
                <c:pt idx="6">
                  <c:v>631125</c:v>
                </c:pt>
                <c:pt idx="7">
                  <c:v>468072</c:v>
                </c:pt>
                <c:pt idx="8">
                  <c:v>269892</c:v>
                </c:pt>
                <c:pt idx="9">
                  <c:v>249984</c:v>
                </c:pt>
                <c:pt idx="10">
                  <c:v>462861</c:v>
                </c:pt>
                <c:pt idx="11">
                  <c:v>431112</c:v>
                </c:pt>
                <c:pt idx="12">
                  <c:v>645300</c:v>
                </c:pt>
                <c:pt idx="13">
                  <c:v>1216998</c:v>
                </c:pt>
                <c:pt idx="14">
                  <c:v>361452</c:v>
                </c:pt>
                <c:pt idx="15">
                  <c:v>460620</c:v>
                </c:pt>
              </c:numCache>
            </c:numRef>
          </c:val>
          <c:extLst>
            <c:ext xmlns:c16="http://schemas.microsoft.com/office/drawing/2014/chart" uri="{C3380CC4-5D6E-409C-BE32-E72D297353CC}">
              <c16:uniqueId val="{00000004-D42D-438A-A06D-C8640FB26449}"/>
            </c:ext>
          </c:extLst>
        </c:ser>
        <c:dLbls>
          <c:showLegendKey val="0"/>
          <c:showVal val="0"/>
          <c:showCatName val="0"/>
          <c:showSerName val="0"/>
          <c:showPercent val="0"/>
          <c:showBubbleSize val="0"/>
        </c:dLbls>
        <c:gapWidth val="150"/>
        <c:axId val="1228492928"/>
        <c:axId val="1351991168"/>
      </c:barChart>
      <c:catAx>
        <c:axId val="1228492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991168"/>
        <c:crosses val="autoZero"/>
        <c:auto val="1"/>
        <c:lblAlgn val="ctr"/>
        <c:lblOffset val="100"/>
        <c:noMultiLvlLbl val="0"/>
      </c:catAx>
      <c:valAx>
        <c:axId val="1351991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49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Excel.xlsx]Pivot-Analysis!Germany_Seg_Sales</c:name>
    <c:fmtId val="1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'Pivot-Analysis'!$B$716:$B$718</c:f>
              <c:strCache>
                <c:ptCount val="1"/>
                <c:pt idx="0">
                  <c:v>Germany - Channel Partners</c:v>
                </c:pt>
              </c:strCache>
            </c:strRef>
          </c:tx>
          <c:spPr>
            <a:solidFill>
              <a:schemeClr val="accent1"/>
            </a:solidFill>
            <a:ln>
              <a:noFill/>
            </a:ln>
            <a:effectLst/>
          </c:spPr>
          <c:invertIfNegative val="0"/>
          <c:cat>
            <c:multiLvlStrRef>
              <c:f>'Pivot-Analysis'!$A$719:$A$737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'Pivot-Analysis'!$B$719:$B$737</c:f>
              <c:numCache>
                <c:formatCode>General</c:formatCode>
                <c:ptCount val="16"/>
                <c:pt idx="0">
                  <c:v>24719.4</c:v>
                </c:pt>
                <c:pt idx="1">
                  <c:v>18200.16</c:v>
                </c:pt>
                <c:pt idx="2">
                  <c:v>19383</c:v>
                </c:pt>
                <c:pt idx="3">
                  <c:v>18478.8</c:v>
                </c:pt>
                <c:pt idx="4">
                  <c:v>28855.56</c:v>
                </c:pt>
                <c:pt idx="5">
                  <c:v>12722.4</c:v>
                </c:pt>
                <c:pt idx="6">
                  <c:v>25932</c:v>
                </c:pt>
                <c:pt idx="7">
                  <c:v>34056</c:v>
                </c:pt>
                <c:pt idx="8">
                  <c:v>9609.6</c:v>
                </c:pt>
                <c:pt idx="9">
                  <c:v>37080</c:v>
                </c:pt>
                <c:pt idx="10">
                  <c:v>4404</c:v>
                </c:pt>
                <c:pt idx="11">
                  <c:v>27799.200000000001</c:v>
                </c:pt>
                <c:pt idx="12">
                  <c:v>17253.599999999999</c:v>
                </c:pt>
                <c:pt idx="13">
                  <c:v>10081.92</c:v>
                </c:pt>
                <c:pt idx="14">
                  <c:v>26698.799999999999</c:v>
                </c:pt>
                <c:pt idx="15">
                  <c:v>21151.439999999999</c:v>
                </c:pt>
              </c:numCache>
            </c:numRef>
          </c:val>
          <c:extLst>
            <c:ext xmlns:c16="http://schemas.microsoft.com/office/drawing/2014/chart" uri="{C3380CC4-5D6E-409C-BE32-E72D297353CC}">
              <c16:uniqueId val="{00000000-0992-41E7-A719-38431DB97333}"/>
            </c:ext>
          </c:extLst>
        </c:ser>
        <c:ser>
          <c:idx val="1"/>
          <c:order val="1"/>
          <c:tx>
            <c:strRef>
              <c:f>'Pivot-Analysis'!$C$716:$C$718</c:f>
              <c:strCache>
                <c:ptCount val="1"/>
                <c:pt idx="0">
                  <c:v>Germany - Enterprise</c:v>
                </c:pt>
              </c:strCache>
            </c:strRef>
          </c:tx>
          <c:spPr>
            <a:solidFill>
              <a:schemeClr val="accent2"/>
            </a:solidFill>
            <a:ln>
              <a:noFill/>
            </a:ln>
            <a:effectLst/>
          </c:spPr>
          <c:invertIfNegative val="0"/>
          <c:cat>
            <c:multiLvlStrRef>
              <c:f>'Pivot-Analysis'!$A$719:$A$737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'Pivot-Analysis'!$C$719:$C$737</c:f>
              <c:numCache>
                <c:formatCode>General</c:formatCode>
                <c:ptCount val="16"/>
                <c:pt idx="0">
                  <c:v>115552.5</c:v>
                </c:pt>
                <c:pt idx="1">
                  <c:v>198205</c:v>
                </c:pt>
                <c:pt idx="2">
                  <c:v>290625</c:v>
                </c:pt>
                <c:pt idx="3">
                  <c:v>104222.5</c:v>
                </c:pt>
                <c:pt idx="4">
                  <c:v>352106.25</c:v>
                </c:pt>
                <c:pt idx="5">
                  <c:v>95831.25</c:v>
                </c:pt>
                <c:pt idx="6">
                  <c:v>95400</c:v>
                </c:pt>
                <c:pt idx="7">
                  <c:v>527437.5</c:v>
                </c:pt>
                <c:pt idx="8">
                  <c:v>278810</c:v>
                </c:pt>
                <c:pt idx="9">
                  <c:v>380725</c:v>
                </c:pt>
                <c:pt idx="10">
                  <c:v>408386.25</c:v>
                </c:pt>
                <c:pt idx="11">
                  <c:v>293993.75</c:v>
                </c:pt>
                <c:pt idx="12">
                  <c:v>242613.75</c:v>
                </c:pt>
                <c:pt idx="13">
                  <c:v>230562.5</c:v>
                </c:pt>
                <c:pt idx="14">
                  <c:v>58650</c:v>
                </c:pt>
                <c:pt idx="15">
                  <c:v>413705</c:v>
                </c:pt>
              </c:numCache>
            </c:numRef>
          </c:val>
          <c:extLst>
            <c:ext xmlns:c16="http://schemas.microsoft.com/office/drawing/2014/chart" uri="{C3380CC4-5D6E-409C-BE32-E72D297353CC}">
              <c16:uniqueId val="{00000001-0992-41E7-A719-38431DB97333}"/>
            </c:ext>
          </c:extLst>
        </c:ser>
        <c:ser>
          <c:idx val="2"/>
          <c:order val="2"/>
          <c:tx>
            <c:strRef>
              <c:f>'Pivot-Analysis'!$D$716:$D$718</c:f>
              <c:strCache>
                <c:ptCount val="1"/>
                <c:pt idx="0">
                  <c:v>Germany - Government</c:v>
                </c:pt>
              </c:strCache>
            </c:strRef>
          </c:tx>
          <c:spPr>
            <a:solidFill>
              <a:schemeClr val="accent3"/>
            </a:solidFill>
            <a:ln>
              <a:noFill/>
            </a:ln>
            <a:effectLst/>
          </c:spPr>
          <c:invertIfNegative val="0"/>
          <c:cat>
            <c:multiLvlStrRef>
              <c:f>'Pivot-Analysis'!$A$719:$A$737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'Pivot-Analysis'!$D$719:$D$737</c:f>
              <c:numCache>
                <c:formatCode>General</c:formatCode>
                <c:ptCount val="16"/>
                <c:pt idx="0">
                  <c:v>633286.26</c:v>
                </c:pt>
                <c:pt idx="1">
                  <c:v>2156605.9</c:v>
                </c:pt>
                <c:pt idx="2">
                  <c:v>741411.4</c:v>
                </c:pt>
                <c:pt idx="3">
                  <c:v>613820.55000000005</c:v>
                </c:pt>
                <c:pt idx="4">
                  <c:v>274152.8</c:v>
                </c:pt>
                <c:pt idx="5">
                  <c:v>509289.02</c:v>
                </c:pt>
                <c:pt idx="6">
                  <c:v>268216.59000000003</c:v>
                </c:pt>
                <c:pt idx="7">
                  <c:v>419058.96</c:v>
                </c:pt>
                <c:pt idx="8">
                  <c:v>499458.4</c:v>
                </c:pt>
                <c:pt idx="9">
                  <c:v>784582.24</c:v>
                </c:pt>
                <c:pt idx="10">
                  <c:v>439949.5</c:v>
                </c:pt>
                <c:pt idx="11">
                  <c:v>164993.91999999998</c:v>
                </c:pt>
                <c:pt idx="12">
                  <c:v>691359.6</c:v>
                </c:pt>
                <c:pt idx="13">
                  <c:v>1986884.4</c:v>
                </c:pt>
                <c:pt idx="14">
                  <c:v>153464</c:v>
                </c:pt>
                <c:pt idx="15">
                  <c:v>1116362.3999999999</c:v>
                </c:pt>
              </c:numCache>
            </c:numRef>
          </c:val>
          <c:extLst>
            <c:ext xmlns:c16="http://schemas.microsoft.com/office/drawing/2014/chart" uri="{C3380CC4-5D6E-409C-BE32-E72D297353CC}">
              <c16:uniqueId val="{00000002-0992-41E7-A719-38431DB97333}"/>
            </c:ext>
          </c:extLst>
        </c:ser>
        <c:ser>
          <c:idx val="3"/>
          <c:order val="3"/>
          <c:tx>
            <c:strRef>
              <c:f>'Pivot-Analysis'!$E$716:$E$718</c:f>
              <c:strCache>
                <c:ptCount val="1"/>
                <c:pt idx="0">
                  <c:v>Germany - Midmarket</c:v>
                </c:pt>
              </c:strCache>
            </c:strRef>
          </c:tx>
          <c:spPr>
            <a:solidFill>
              <a:schemeClr val="accent4"/>
            </a:solidFill>
            <a:ln>
              <a:noFill/>
            </a:ln>
            <a:effectLst/>
          </c:spPr>
          <c:invertIfNegative val="0"/>
          <c:cat>
            <c:multiLvlStrRef>
              <c:f>'Pivot-Analysis'!$A$719:$A$737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'Pivot-Analysis'!$E$719:$E$737</c:f>
              <c:numCache>
                <c:formatCode>General</c:formatCode>
                <c:ptCount val="16"/>
                <c:pt idx="0">
                  <c:v>8613</c:v>
                </c:pt>
                <c:pt idx="1">
                  <c:v>56599.5</c:v>
                </c:pt>
                <c:pt idx="2">
                  <c:v>13240.5</c:v>
                </c:pt>
                <c:pt idx="3">
                  <c:v>30153</c:v>
                </c:pt>
                <c:pt idx="4">
                  <c:v>9193.5</c:v>
                </c:pt>
                <c:pt idx="5">
                  <c:v>3586.2</c:v>
                </c:pt>
                <c:pt idx="6">
                  <c:v>13815</c:v>
                </c:pt>
                <c:pt idx="7">
                  <c:v>6885</c:v>
                </c:pt>
                <c:pt idx="8">
                  <c:v>21573</c:v>
                </c:pt>
                <c:pt idx="9">
                  <c:v>26640</c:v>
                </c:pt>
                <c:pt idx="10">
                  <c:v>6273</c:v>
                </c:pt>
                <c:pt idx="11">
                  <c:v>24576.3</c:v>
                </c:pt>
                <c:pt idx="12">
                  <c:v>11092.95</c:v>
                </c:pt>
                <c:pt idx="13">
                  <c:v>29962.5</c:v>
                </c:pt>
                <c:pt idx="14">
                  <c:v>19517.7</c:v>
                </c:pt>
                <c:pt idx="15">
                  <c:v>19623.599999999999</c:v>
                </c:pt>
              </c:numCache>
            </c:numRef>
          </c:val>
          <c:extLst>
            <c:ext xmlns:c16="http://schemas.microsoft.com/office/drawing/2014/chart" uri="{C3380CC4-5D6E-409C-BE32-E72D297353CC}">
              <c16:uniqueId val="{00000003-0992-41E7-A719-38431DB97333}"/>
            </c:ext>
          </c:extLst>
        </c:ser>
        <c:ser>
          <c:idx val="4"/>
          <c:order val="4"/>
          <c:tx>
            <c:strRef>
              <c:f>'Pivot-Analysis'!$F$716:$F$718</c:f>
              <c:strCache>
                <c:ptCount val="1"/>
                <c:pt idx="0">
                  <c:v>Germany - Small Business</c:v>
                </c:pt>
              </c:strCache>
            </c:strRef>
          </c:tx>
          <c:spPr>
            <a:solidFill>
              <a:schemeClr val="accent5"/>
            </a:solidFill>
            <a:ln>
              <a:noFill/>
            </a:ln>
            <a:effectLst/>
          </c:spPr>
          <c:invertIfNegative val="0"/>
          <c:cat>
            <c:multiLvlStrRef>
              <c:f>'Pivot-Analysis'!$A$719:$A$737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'Pivot-Analysis'!$F$719:$F$737</c:f>
              <c:numCache>
                <c:formatCode>General</c:formatCode>
                <c:ptCount val="16"/>
                <c:pt idx="0">
                  <c:v>313317</c:v>
                </c:pt>
                <c:pt idx="1">
                  <c:v>125832</c:v>
                </c:pt>
                <c:pt idx="2">
                  <c:v>654288</c:v>
                </c:pt>
                <c:pt idx="3">
                  <c:v>91182</c:v>
                </c:pt>
                <c:pt idx="4">
                  <c:v>210627</c:v>
                </c:pt>
                <c:pt idx="5">
                  <c:v>725907</c:v>
                </c:pt>
                <c:pt idx="6">
                  <c:v>76146</c:v>
                </c:pt>
                <c:pt idx="7">
                  <c:v>407376</c:v>
                </c:pt>
                <c:pt idx="8">
                  <c:v>508032</c:v>
                </c:pt>
                <c:pt idx="9">
                  <c:v>400998</c:v>
                </c:pt>
                <c:pt idx="10">
                  <c:v>750537</c:v>
                </c:pt>
                <c:pt idx="11">
                  <c:v>535392</c:v>
                </c:pt>
                <c:pt idx="12">
                  <c:v>292842</c:v>
                </c:pt>
                <c:pt idx="13">
                  <c:v>1164096</c:v>
                </c:pt>
                <c:pt idx="14">
                  <c:v>358776</c:v>
                </c:pt>
                <c:pt idx="15">
                  <c:v>712500</c:v>
                </c:pt>
              </c:numCache>
            </c:numRef>
          </c:val>
          <c:extLst>
            <c:ext xmlns:c16="http://schemas.microsoft.com/office/drawing/2014/chart" uri="{C3380CC4-5D6E-409C-BE32-E72D297353CC}">
              <c16:uniqueId val="{00000004-0992-41E7-A719-38431DB97333}"/>
            </c:ext>
          </c:extLst>
        </c:ser>
        <c:dLbls>
          <c:showLegendKey val="0"/>
          <c:showVal val="0"/>
          <c:showCatName val="0"/>
          <c:showSerName val="0"/>
          <c:showPercent val="0"/>
          <c:showBubbleSize val="0"/>
        </c:dLbls>
        <c:gapWidth val="150"/>
        <c:axId val="1228390928"/>
        <c:axId val="1351985344"/>
      </c:barChart>
      <c:catAx>
        <c:axId val="1228390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985344"/>
        <c:crosses val="autoZero"/>
        <c:auto val="1"/>
        <c:lblAlgn val="ctr"/>
        <c:lblOffset val="100"/>
        <c:noMultiLvlLbl val="0"/>
      </c:catAx>
      <c:valAx>
        <c:axId val="1351985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39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Excel.xlsx]Pivot-Analysis!Maxico_Seg_Sales</c:name>
    <c:fmtId val="1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s>
    <c:plotArea>
      <c:layout/>
      <c:barChart>
        <c:barDir val="col"/>
        <c:grouping val="stacked"/>
        <c:varyColors val="0"/>
        <c:ser>
          <c:idx val="0"/>
          <c:order val="0"/>
          <c:tx>
            <c:strRef>
              <c:f>'Pivot-Analysis'!$B$742:$B$744</c:f>
              <c:strCache>
                <c:ptCount val="1"/>
                <c:pt idx="0">
                  <c:v>Canada - Channel Partners</c:v>
                </c:pt>
              </c:strCache>
            </c:strRef>
          </c:tx>
          <c:spPr>
            <a:solidFill>
              <a:schemeClr val="accent1"/>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'Pivot-Analysis'!$B$745:$B$763</c:f>
              <c:numCache>
                <c:formatCode>General</c:formatCode>
                <c:ptCount val="16"/>
                <c:pt idx="0">
                  <c:v>29156.16</c:v>
                </c:pt>
                <c:pt idx="1">
                  <c:v>51865.440000000002</c:v>
                </c:pt>
                <c:pt idx="2">
                  <c:v>22931.040000000001</c:v>
                </c:pt>
                <c:pt idx="3">
                  <c:v>10569.12</c:v>
                </c:pt>
                <c:pt idx="4">
                  <c:v>36208.620000000003</c:v>
                </c:pt>
                <c:pt idx="5">
                  <c:v>20687.16</c:v>
                </c:pt>
                <c:pt idx="6">
                  <c:v>6601.92</c:v>
                </c:pt>
                <c:pt idx="7">
                  <c:v>38021.4</c:v>
                </c:pt>
                <c:pt idx="8">
                  <c:v>22271.040000000001</c:v>
                </c:pt>
                <c:pt idx="9">
                  <c:v>60432</c:v>
                </c:pt>
                <c:pt idx="10">
                  <c:v>42997.68</c:v>
                </c:pt>
                <c:pt idx="11">
                  <c:v>21025.439999999999</c:v>
                </c:pt>
                <c:pt idx="12">
                  <c:v>17166.599999999999</c:v>
                </c:pt>
                <c:pt idx="13">
                  <c:v>30458.400000000001</c:v>
                </c:pt>
                <c:pt idx="14">
                  <c:v>25345.32</c:v>
                </c:pt>
                <c:pt idx="15">
                  <c:v>55426.8</c:v>
                </c:pt>
              </c:numCache>
            </c:numRef>
          </c:val>
          <c:extLst>
            <c:ext xmlns:c16="http://schemas.microsoft.com/office/drawing/2014/chart" uri="{C3380CC4-5D6E-409C-BE32-E72D297353CC}">
              <c16:uniqueId val="{00000000-3C54-47EE-8B78-1A4C9BC23858}"/>
            </c:ext>
          </c:extLst>
        </c:ser>
        <c:ser>
          <c:idx val="1"/>
          <c:order val="1"/>
          <c:tx>
            <c:strRef>
              <c:f>'Pivot-Analysis'!$C$742:$C$744</c:f>
              <c:strCache>
                <c:ptCount val="1"/>
                <c:pt idx="0">
                  <c:v>Canada - Enterprise</c:v>
                </c:pt>
              </c:strCache>
            </c:strRef>
          </c:tx>
          <c:spPr>
            <a:solidFill>
              <a:schemeClr val="accent2"/>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'Pivot-Analysis'!$C$745:$C$763</c:f>
              <c:numCache>
                <c:formatCode>General</c:formatCode>
                <c:ptCount val="16"/>
                <c:pt idx="0">
                  <c:v>265760</c:v>
                </c:pt>
                <c:pt idx="1">
                  <c:v>86250</c:v>
                </c:pt>
                <c:pt idx="2">
                  <c:v>313862.5</c:v>
                </c:pt>
                <c:pt idx="3">
                  <c:v>215550</c:v>
                </c:pt>
                <c:pt idx="4">
                  <c:v>180416.25</c:v>
                </c:pt>
                <c:pt idx="5">
                  <c:v>111860</c:v>
                </c:pt>
                <c:pt idx="6">
                  <c:v>215097.5</c:v>
                </c:pt>
                <c:pt idx="7">
                  <c:v>90956.25</c:v>
                </c:pt>
                <c:pt idx="8">
                  <c:v>191231.25</c:v>
                </c:pt>
                <c:pt idx="9">
                  <c:v>344302.5</c:v>
                </c:pt>
                <c:pt idx="10">
                  <c:v>333187.5</c:v>
                </c:pt>
                <c:pt idx="11">
                  <c:v>114221.25</c:v>
                </c:pt>
                <c:pt idx="12">
                  <c:v>64496.25</c:v>
                </c:pt>
                <c:pt idx="13">
                  <c:v>487182.5</c:v>
                </c:pt>
                <c:pt idx="14">
                  <c:v>284512.5</c:v>
                </c:pt>
                <c:pt idx="15">
                  <c:v>668605</c:v>
                </c:pt>
              </c:numCache>
            </c:numRef>
          </c:val>
          <c:extLst>
            <c:ext xmlns:c16="http://schemas.microsoft.com/office/drawing/2014/chart" uri="{C3380CC4-5D6E-409C-BE32-E72D297353CC}">
              <c16:uniqueId val="{00000001-3C54-47EE-8B78-1A4C9BC23858}"/>
            </c:ext>
          </c:extLst>
        </c:ser>
        <c:ser>
          <c:idx val="2"/>
          <c:order val="2"/>
          <c:tx>
            <c:strRef>
              <c:f>'Pivot-Analysis'!$D$742:$D$744</c:f>
              <c:strCache>
                <c:ptCount val="1"/>
                <c:pt idx="0">
                  <c:v>Canada - Government</c:v>
                </c:pt>
              </c:strCache>
            </c:strRef>
          </c:tx>
          <c:spPr>
            <a:solidFill>
              <a:schemeClr val="accent3"/>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'Pivot-Analysis'!$D$745:$D$763</c:f>
              <c:numCache>
                <c:formatCode>General</c:formatCode>
                <c:ptCount val="16"/>
                <c:pt idx="0">
                  <c:v>258308.05</c:v>
                </c:pt>
                <c:pt idx="1">
                  <c:v>907719.44</c:v>
                </c:pt>
                <c:pt idx="2">
                  <c:v>670490.56000000006</c:v>
                </c:pt>
                <c:pt idx="3">
                  <c:v>641908.06999999995</c:v>
                </c:pt>
                <c:pt idx="4">
                  <c:v>731414.22</c:v>
                </c:pt>
                <c:pt idx="5">
                  <c:v>714582.72</c:v>
                </c:pt>
                <c:pt idx="6">
                  <c:v>332004.27999999997</c:v>
                </c:pt>
                <c:pt idx="7">
                  <c:v>405924.3</c:v>
                </c:pt>
                <c:pt idx="8">
                  <c:v>77976.479999999996</c:v>
                </c:pt>
                <c:pt idx="9">
                  <c:v>1643720.1</c:v>
                </c:pt>
                <c:pt idx="10">
                  <c:v>675482.28</c:v>
                </c:pt>
                <c:pt idx="11">
                  <c:v>238835.09999999998</c:v>
                </c:pt>
                <c:pt idx="12">
                  <c:v>264861.56</c:v>
                </c:pt>
                <c:pt idx="13">
                  <c:v>885501.07999999984</c:v>
                </c:pt>
                <c:pt idx="14">
                  <c:v>242758.64</c:v>
                </c:pt>
                <c:pt idx="15">
                  <c:v>2049749.6400000001</c:v>
                </c:pt>
              </c:numCache>
            </c:numRef>
          </c:val>
          <c:extLst>
            <c:ext xmlns:c16="http://schemas.microsoft.com/office/drawing/2014/chart" uri="{C3380CC4-5D6E-409C-BE32-E72D297353CC}">
              <c16:uniqueId val="{00000002-3C54-47EE-8B78-1A4C9BC23858}"/>
            </c:ext>
          </c:extLst>
        </c:ser>
        <c:ser>
          <c:idx val="3"/>
          <c:order val="3"/>
          <c:tx>
            <c:strRef>
              <c:f>'Pivot-Analysis'!$E$742:$E$744</c:f>
              <c:strCache>
                <c:ptCount val="1"/>
                <c:pt idx="0">
                  <c:v>Canada - Midmarket</c:v>
                </c:pt>
              </c:strCache>
            </c:strRef>
          </c:tx>
          <c:spPr>
            <a:solidFill>
              <a:schemeClr val="accent4"/>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'Pivot-Analysis'!$E$745:$E$763</c:f>
              <c:numCache>
                <c:formatCode>General</c:formatCode>
                <c:ptCount val="16"/>
                <c:pt idx="0">
                  <c:v>31863</c:v>
                </c:pt>
                <c:pt idx="1">
                  <c:v>44969.4</c:v>
                </c:pt>
                <c:pt idx="2">
                  <c:v>20826</c:v>
                </c:pt>
                <c:pt idx="3">
                  <c:v>32280</c:v>
                </c:pt>
                <c:pt idx="4">
                  <c:v>5126.3999999999996</c:v>
                </c:pt>
                <c:pt idx="5">
                  <c:v>34736.1</c:v>
                </c:pt>
                <c:pt idx="6">
                  <c:v>28324.799999999999</c:v>
                </c:pt>
                <c:pt idx="7">
                  <c:v>20578.5</c:v>
                </c:pt>
                <c:pt idx="8">
                  <c:v>17604.900000000001</c:v>
                </c:pt>
                <c:pt idx="9">
                  <c:v>80200.800000000003</c:v>
                </c:pt>
                <c:pt idx="10">
                  <c:v>22256.33</c:v>
                </c:pt>
                <c:pt idx="11">
                  <c:v>32627.25</c:v>
                </c:pt>
                <c:pt idx="12">
                  <c:v>3139.2</c:v>
                </c:pt>
                <c:pt idx="13">
                  <c:v>40846.5</c:v>
                </c:pt>
                <c:pt idx="14">
                  <c:v>35494.800000000003</c:v>
                </c:pt>
                <c:pt idx="15">
                  <c:v>59340</c:v>
                </c:pt>
              </c:numCache>
            </c:numRef>
          </c:val>
          <c:extLst>
            <c:ext xmlns:c16="http://schemas.microsoft.com/office/drawing/2014/chart" uri="{C3380CC4-5D6E-409C-BE32-E72D297353CC}">
              <c16:uniqueId val="{00000003-3C54-47EE-8B78-1A4C9BC23858}"/>
            </c:ext>
          </c:extLst>
        </c:ser>
        <c:ser>
          <c:idx val="4"/>
          <c:order val="4"/>
          <c:tx>
            <c:strRef>
              <c:f>'Pivot-Analysis'!$F$742:$F$744</c:f>
              <c:strCache>
                <c:ptCount val="1"/>
                <c:pt idx="0">
                  <c:v>Canada - Small Business</c:v>
                </c:pt>
              </c:strCache>
            </c:strRef>
          </c:tx>
          <c:spPr>
            <a:solidFill>
              <a:schemeClr val="accent5"/>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'Pivot-Analysis'!$F$745:$F$763</c:f>
              <c:numCache>
                <c:formatCode>General</c:formatCode>
                <c:ptCount val="16"/>
                <c:pt idx="0">
                  <c:v>354108</c:v>
                </c:pt>
                <c:pt idx="1">
                  <c:v>138804</c:v>
                </c:pt>
                <c:pt idx="2">
                  <c:v>391716</c:v>
                </c:pt>
                <c:pt idx="3">
                  <c:v>686952</c:v>
                </c:pt>
                <c:pt idx="4">
                  <c:v>233091</c:v>
                </c:pt>
                <c:pt idx="5">
                  <c:v>600300</c:v>
                </c:pt>
                <c:pt idx="6">
                  <c:v>229104</c:v>
                </c:pt>
                <c:pt idx="7">
                  <c:v>1038082.5</c:v>
                </c:pt>
                <c:pt idx="8">
                  <c:v>474858</c:v>
                </c:pt>
                <c:pt idx="9">
                  <c:v>597324</c:v>
                </c:pt>
                <c:pt idx="10">
                  <c:v>1035625.5</c:v>
                </c:pt>
                <c:pt idx="11">
                  <c:v>545334</c:v>
                </c:pt>
                <c:pt idx="12">
                  <c:v>588984</c:v>
                </c:pt>
                <c:pt idx="13">
                  <c:v>771936</c:v>
                </c:pt>
                <c:pt idx="14">
                  <c:v>364722</c:v>
                </c:pt>
                <c:pt idx="15">
                  <c:v>1126608</c:v>
                </c:pt>
              </c:numCache>
            </c:numRef>
          </c:val>
          <c:extLst>
            <c:ext xmlns:c16="http://schemas.microsoft.com/office/drawing/2014/chart" uri="{C3380CC4-5D6E-409C-BE32-E72D297353CC}">
              <c16:uniqueId val="{00000004-3C54-47EE-8B78-1A4C9BC23858}"/>
            </c:ext>
          </c:extLst>
        </c:ser>
        <c:ser>
          <c:idx val="5"/>
          <c:order val="5"/>
          <c:tx>
            <c:strRef>
              <c:f>'Pivot-Analysis'!$H$742:$H$744</c:f>
              <c:strCache>
                <c:ptCount val="1"/>
                <c:pt idx="0">
                  <c:v>France - Channel Partners</c:v>
                </c:pt>
              </c:strCache>
            </c:strRef>
          </c:tx>
          <c:spPr>
            <a:solidFill>
              <a:schemeClr val="accent6"/>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'Pivot-Analysis'!$H$745:$H$763</c:f>
              <c:numCache>
                <c:formatCode>General</c:formatCode>
                <c:ptCount val="16"/>
                <c:pt idx="0">
                  <c:v>24395.279999999999</c:v>
                </c:pt>
                <c:pt idx="1">
                  <c:v>25589.279999999999</c:v>
                </c:pt>
                <c:pt idx="2">
                  <c:v>20991.599999999999</c:v>
                </c:pt>
                <c:pt idx="3">
                  <c:v>3341.52</c:v>
                </c:pt>
                <c:pt idx="4">
                  <c:v>18519.12</c:v>
                </c:pt>
                <c:pt idx="5">
                  <c:v>21261</c:v>
                </c:pt>
                <c:pt idx="6">
                  <c:v>21479.64</c:v>
                </c:pt>
                <c:pt idx="7">
                  <c:v>19401.66</c:v>
                </c:pt>
                <c:pt idx="8">
                  <c:v>9976.32</c:v>
                </c:pt>
                <c:pt idx="9">
                  <c:v>44255.28</c:v>
                </c:pt>
                <c:pt idx="10">
                  <c:v>25904.34</c:v>
                </c:pt>
                <c:pt idx="11">
                  <c:v>25542</c:v>
                </c:pt>
                <c:pt idx="12">
                  <c:v>31731.48</c:v>
                </c:pt>
                <c:pt idx="13">
                  <c:v>28751.52</c:v>
                </c:pt>
                <c:pt idx="14">
                  <c:v>26136.720000000001</c:v>
                </c:pt>
                <c:pt idx="15">
                  <c:v>24813.599999999999</c:v>
                </c:pt>
              </c:numCache>
            </c:numRef>
          </c:val>
          <c:extLst>
            <c:ext xmlns:c16="http://schemas.microsoft.com/office/drawing/2014/chart" uri="{C3380CC4-5D6E-409C-BE32-E72D297353CC}">
              <c16:uniqueId val="{0000008C-C352-4863-AC12-A5FDE06D36C8}"/>
            </c:ext>
          </c:extLst>
        </c:ser>
        <c:ser>
          <c:idx val="6"/>
          <c:order val="6"/>
          <c:tx>
            <c:strRef>
              <c:f>'Pivot-Analysis'!$I$742:$I$744</c:f>
              <c:strCache>
                <c:ptCount val="1"/>
                <c:pt idx="0">
                  <c:v>France - Enterprise</c:v>
                </c:pt>
              </c:strCache>
            </c:strRef>
          </c:tx>
          <c:spPr>
            <a:solidFill>
              <a:schemeClr val="accent1">
                <a:lumMod val="6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'Pivot-Analysis'!$I$745:$I$763</c:f>
              <c:numCache>
                <c:formatCode>General</c:formatCode>
                <c:ptCount val="16"/>
                <c:pt idx="0">
                  <c:v>109972.5</c:v>
                </c:pt>
                <c:pt idx="1">
                  <c:v>167200</c:v>
                </c:pt>
                <c:pt idx="2">
                  <c:v>211233.75</c:v>
                </c:pt>
                <c:pt idx="3">
                  <c:v>166725</c:v>
                </c:pt>
                <c:pt idx="4">
                  <c:v>233531.25</c:v>
                </c:pt>
                <c:pt idx="5">
                  <c:v>225500</c:v>
                </c:pt>
                <c:pt idx="6">
                  <c:v>283218.75</c:v>
                </c:pt>
                <c:pt idx="7">
                  <c:v>514524.38</c:v>
                </c:pt>
                <c:pt idx="8">
                  <c:v>159421.25</c:v>
                </c:pt>
                <c:pt idx="9">
                  <c:v>194782.5</c:v>
                </c:pt>
                <c:pt idx="10">
                  <c:v>358560</c:v>
                </c:pt>
                <c:pt idx="11">
                  <c:v>124737.5</c:v>
                </c:pt>
                <c:pt idx="12">
                  <c:v>70443.75</c:v>
                </c:pt>
                <c:pt idx="13">
                  <c:v>543122.5</c:v>
                </c:pt>
                <c:pt idx="14">
                  <c:v>215820</c:v>
                </c:pt>
                <c:pt idx="15">
                  <c:v>312097.5</c:v>
                </c:pt>
              </c:numCache>
            </c:numRef>
          </c:val>
          <c:extLst>
            <c:ext xmlns:c16="http://schemas.microsoft.com/office/drawing/2014/chart" uri="{C3380CC4-5D6E-409C-BE32-E72D297353CC}">
              <c16:uniqueId val="{0000008D-C352-4863-AC12-A5FDE06D36C8}"/>
            </c:ext>
          </c:extLst>
        </c:ser>
        <c:ser>
          <c:idx val="7"/>
          <c:order val="7"/>
          <c:tx>
            <c:strRef>
              <c:f>'Pivot-Analysis'!$J$742:$J$744</c:f>
              <c:strCache>
                <c:ptCount val="1"/>
                <c:pt idx="0">
                  <c:v>France - Government</c:v>
                </c:pt>
              </c:strCache>
            </c:strRef>
          </c:tx>
          <c:spPr>
            <a:solidFill>
              <a:schemeClr val="accent2">
                <a:lumMod val="6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'Pivot-Analysis'!$J$745:$J$763</c:f>
              <c:numCache>
                <c:formatCode>General</c:formatCode>
                <c:ptCount val="16"/>
                <c:pt idx="0">
                  <c:v>591090.81000000006</c:v>
                </c:pt>
                <c:pt idx="1">
                  <c:v>1450534.6800000002</c:v>
                </c:pt>
                <c:pt idx="2">
                  <c:v>642049.1</c:v>
                </c:pt>
                <c:pt idx="3">
                  <c:v>419412.4</c:v>
                </c:pt>
                <c:pt idx="4">
                  <c:v>532063.5</c:v>
                </c:pt>
                <c:pt idx="5">
                  <c:v>989020.86</c:v>
                </c:pt>
                <c:pt idx="6">
                  <c:v>589411.56000000006</c:v>
                </c:pt>
                <c:pt idx="7">
                  <c:v>277270.56</c:v>
                </c:pt>
                <c:pt idx="8">
                  <c:v>567455.9</c:v>
                </c:pt>
                <c:pt idx="9">
                  <c:v>1074822.2000000002</c:v>
                </c:pt>
                <c:pt idx="10">
                  <c:v>249596.34</c:v>
                </c:pt>
                <c:pt idx="11">
                  <c:v>169101.64</c:v>
                </c:pt>
                <c:pt idx="12">
                  <c:v>968382.76</c:v>
                </c:pt>
                <c:pt idx="13">
                  <c:v>1557292.4400000004</c:v>
                </c:pt>
                <c:pt idx="14">
                  <c:v>513823.87</c:v>
                </c:pt>
                <c:pt idx="15">
                  <c:v>1536454.1</c:v>
                </c:pt>
              </c:numCache>
            </c:numRef>
          </c:val>
          <c:extLst>
            <c:ext xmlns:c16="http://schemas.microsoft.com/office/drawing/2014/chart" uri="{C3380CC4-5D6E-409C-BE32-E72D297353CC}">
              <c16:uniqueId val="{0000008E-C352-4863-AC12-A5FDE06D36C8}"/>
            </c:ext>
          </c:extLst>
        </c:ser>
        <c:ser>
          <c:idx val="8"/>
          <c:order val="8"/>
          <c:tx>
            <c:strRef>
              <c:f>'Pivot-Analysis'!$K$742:$K$744</c:f>
              <c:strCache>
                <c:ptCount val="1"/>
                <c:pt idx="0">
                  <c:v>France - Midmarket</c:v>
                </c:pt>
              </c:strCache>
            </c:strRef>
          </c:tx>
          <c:spPr>
            <a:solidFill>
              <a:schemeClr val="accent3">
                <a:lumMod val="6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'Pivot-Analysis'!$K$745:$K$763</c:f>
              <c:numCache>
                <c:formatCode>General</c:formatCode>
                <c:ptCount val="16"/>
                <c:pt idx="0">
                  <c:v>8235</c:v>
                </c:pt>
                <c:pt idx="1">
                  <c:v>58509</c:v>
                </c:pt>
                <c:pt idx="2">
                  <c:v>4766.8500000000004</c:v>
                </c:pt>
                <c:pt idx="3">
                  <c:v>32558.400000000001</c:v>
                </c:pt>
                <c:pt idx="4">
                  <c:v>52167.38</c:v>
                </c:pt>
                <c:pt idx="5">
                  <c:v>34095.599999999999</c:v>
                </c:pt>
                <c:pt idx="6">
                  <c:v>34513.800000000003</c:v>
                </c:pt>
                <c:pt idx="7">
                  <c:v>53594.1</c:v>
                </c:pt>
                <c:pt idx="8">
                  <c:v>36031.5</c:v>
                </c:pt>
                <c:pt idx="9">
                  <c:v>65340</c:v>
                </c:pt>
                <c:pt idx="10">
                  <c:v>51143.4</c:v>
                </c:pt>
                <c:pt idx="11">
                  <c:v>29308.95</c:v>
                </c:pt>
                <c:pt idx="12">
                  <c:v>37335</c:v>
                </c:pt>
                <c:pt idx="13">
                  <c:v>33497.1</c:v>
                </c:pt>
                <c:pt idx="14">
                  <c:v>6762</c:v>
                </c:pt>
                <c:pt idx="15">
                  <c:v>55944</c:v>
                </c:pt>
              </c:numCache>
            </c:numRef>
          </c:val>
          <c:extLst>
            <c:ext xmlns:c16="http://schemas.microsoft.com/office/drawing/2014/chart" uri="{C3380CC4-5D6E-409C-BE32-E72D297353CC}">
              <c16:uniqueId val="{0000008F-C352-4863-AC12-A5FDE06D36C8}"/>
            </c:ext>
          </c:extLst>
        </c:ser>
        <c:ser>
          <c:idx val="9"/>
          <c:order val="9"/>
          <c:tx>
            <c:strRef>
              <c:f>'Pivot-Analysis'!$L$742:$L$744</c:f>
              <c:strCache>
                <c:ptCount val="1"/>
                <c:pt idx="0">
                  <c:v>France - Small Business</c:v>
                </c:pt>
              </c:strCache>
            </c:strRef>
          </c:tx>
          <c:spPr>
            <a:solidFill>
              <a:schemeClr val="accent4">
                <a:lumMod val="6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'Pivot-Analysis'!$L$745:$L$763</c:f>
              <c:numCache>
                <c:formatCode>General</c:formatCode>
                <c:ptCount val="16"/>
                <c:pt idx="0">
                  <c:v>87906</c:v>
                </c:pt>
                <c:pt idx="1">
                  <c:v>688644</c:v>
                </c:pt>
                <c:pt idx="2">
                  <c:v>106536</c:v>
                </c:pt>
                <c:pt idx="3">
                  <c:v>313104</c:v>
                </c:pt>
                <c:pt idx="4">
                  <c:v>708439.5</c:v>
                </c:pt>
                <c:pt idx="5">
                  <c:v>267561</c:v>
                </c:pt>
                <c:pt idx="6">
                  <c:v>631125</c:v>
                </c:pt>
                <c:pt idx="7">
                  <c:v>468072</c:v>
                </c:pt>
                <c:pt idx="8">
                  <c:v>269892</c:v>
                </c:pt>
                <c:pt idx="9">
                  <c:v>249984</c:v>
                </c:pt>
                <c:pt idx="10">
                  <c:v>462861</c:v>
                </c:pt>
                <c:pt idx="11">
                  <c:v>431112</c:v>
                </c:pt>
                <c:pt idx="12">
                  <c:v>645300</c:v>
                </c:pt>
                <c:pt idx="13">
                  <c:v>1216998</c:v>
                </c:pt>
                <c:pt idx="14">
                  <c:v>361452</c:v>
                </c:pt>
                <c:pt idx="15">
                  <c:v>460620</c:v>
                </c:pt>
              </c:numCache>
            </c:numRef>
          </c:val>
          <c:extLst>
            <c:ext xmlns:c16="http://schemas.microsoft.com/office/drawing/2014/chart" uri="{C3380CC4-5D6E-409C-BE32-E72D297353CC}">
              <c16:uniqueId val="{00000090-C352-4863-AC12-A5FDE06D36C8}"/>
            </c:ext>
          </c:extLst>
        </c:ser>
        <c:ser>
          <c:idx val="10"/>
          <c:order val="10"/>
          <c:tx>
            <c:strRef>
              <c:f>'Pivot-Analysis'!$N$742:$N$744</c:f>
              <c:strCache>
                <c:ptCount val="1"/>
                <c:pt idx="0">
                  <c:v>Germany - Channel Partners</c:v>
                </c:pt>
              </c:strCache>
            </c:strRef>
          </c:tx>
          <c:spPr>
            <a:solidFill>
              <a:schemeClr val="accent5">
                <a:lumMod val="6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'Pivot-Analysis'!$N$745:$N$763</c:f>
              <c:numCache>
                <c:formatCode>General</c:formatCode>
                <c:ptCount val="16"/>
                <c:pt idx="0">
                  <c:v>24719.4</c:v>
                </c:pt>
                <c:pt idx="1">
                  <c:v>18200.16</c:v>
                </c:pt>
                <c:pt idx="2">
                  <c:v>19383</c:v>
                </c:pt>
                <c:pt idx="3">
                  <c:v>18478.8</c:v>
                </c:pt>
                <c:pt idx="4">
                  <c:v>28855.56</c:v>
                </c:pt>
                <c:pt idx="5">
                  <c:v>12722.4</c:v>
                </c:pt>
                <c:pt idx="6">
                  <c:v>25932</c:v>
                </c:pt>
                <c:pt idx="7">
                  <c:v>34056</c:v>
                </c:pt>
                <c:pt idx="8">
                  <c:v>9609.6</c:v>
                </c:pt>
                <c:pt idx="9">
                  <c:v>37080</c:v>
                </c:pt>
                <c:pt idx="10">
                  <c:v>4404</c:v>
                </c:pt>
                <c:pt idx="11">
                  <c:v>27799.200000000001</c:v>
                </c:pt>
                <c:pt idx="12">
                  <c:v>17253.599999999999</c:v>
                </c:pt>
                <c:pt idx="13">
                  <c:v>10081.92</c:v>
                </c:pt>
                <c:pt idx="14">
                  <c:v>26698.799999999999</c:v>
                </c:pt>
                <c:pt idx="15">
                  <c:v>21151.439999999999</c:v>
                </c:pt>
              </c:numCache>
            </c:numRef>
          </c:val>
          <c:extLst>
            <c:ext xmlns:c16="http://schemas.microsoft.com/office/drawing/2014/chart" uri="{C3380CC4-5D6E-409C-BE32-E72D297353CC}">
              <c16:uniqueId val="{00000091-C352-4863-AC12-A5FDE06D36C8}"/>
            </c:ext>
          </c:extLst>
        </c:ser>
        <c:ser>
          <c:idx val="11"/>
          <c:order val="11"/>
          <c:tx>
            <c:strRef>
              <c:f>'Pivot-Analysis'!$O$742:$O$744</c:f>
              <c:strCache>
                <c:ptCount val="1"/>
                <c:pt idx="0">
                  <c:v>Germany - Enterprise</c:v>
                </c:pt>
              </c:strCache>
            </c:strRef>
          </c:tx>
          <c:spPr>
            <a:solidFill>
              <a:schemeClr val="accent6">
                <a:lumMod val="6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'Pivot-Analysis'!$O$745:$O$763</c:f>
              <c:numCache>
                <c:formatCode>General</c:formatCode>
                <c:ptCount val="16"/>
                <c:pt idx="0">
                  <c:v>115552.5</c:v>
                </c:pt>
                <c:pt idx="1">
                  <c:v>198205</c:v>
                </c:pt>
                <c:pt idx="2">
                  <c:v>290625</c:v>
                </c:pt>
                <c:pt idx="3">
                  <c:v>104222.5</c:v>
                </c:pt>
                <c:pt idx="4">
                  <c:v>352106.25</c:v>
                </c:pt>
                <c:pt idx="5">
                  <c:v>95831.25</c:v>
                </c:pt>
                <c:pt idx="6">
                  <c:v>95400</c:v>
                </c:pt>
                <c:pt idx="7">
                  <c:v>527437.5</c:v>
                </c:pt>
                <c:pt idx="8">
                  <c:v>278810</c:v>
                </c:pt>
                <c:pt idx="9">
                  <c:v>380725</c:v>
                </c:pt>
                <c:pt idx="10">
                  <c:v>408386.25</c:v>
                </c:pt>
                <c:pt idx="11">
                  <c:v>293993.75</c:v>
                </c:pt>
                <c:pt idx="12">
                  <c:v>242613.75</c:v>
                </c:pt>
                <c:pt idx="13">
                  <c:v>230562.5</c:v>
                </c:pt>
                <c:pt idx="14">
                  <c:v>58650</c:v>
                </c:pt>
                <c:pt idx="15">
                  <c:v>413705</c:v>
                </c:pt>
              </c:numCache>
            </c:numRef>
          </c:val>
          <c:extLst>
            <c:ext xmlns:c16="http://schemas.microsoft.com/office/drawing/2014/chart" uri="{C3380CC4-5D6E-409C-BE32-E72D297353CC}">
              <c16:uniqueId val="{00000092-C352-4863-AC12-A5FDE06D36C8}"/>
            </c:ext>
          </c:extLst>
        </c:ser>
        <c:ser>
          <c:idx val="12"/>
          <c:order val="12"/>
          <c:tx>
            <c:strRef>
              <c:f>'Pivot-Analysis'!$P$742:$P$744</c:f>
              <c:strCache>
                <c:ptCount val="1"/>
                <c:pt idx="0">
                  <c:v>Germany - Government</c:v>
                </c:pt>
              </c:strCache>
            </c:strRef>
          </c:tx>
          <c:spPr>
            <a:solidFill>
              <a:schemeClr val="accent1">
                <a:lumMod val="80000"/>
                <a:lumOff val="2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'Pivot-Analysis'!$P$745:$P$763</c:f>
              <c:numCache>
                <c:formatCode>General</c:formatCode>
                <c:ptCount val="16"/>
                <c:pt idx="0">
                  <c:v>633286.26</c:v>
                </c:pt>
                <c:pt idx="1">
                  <c:v>2156605.9000000004</c:v>
                </c:pt>
                <c:pt idx="2">
                  <c:v>741411.4</c:v>
                </c:pt>
                <c:pt idx="3">
                  <c:v>613820.55000000005</c:v>
                </c:pt>
                <c:pt idx="4">
                  <c:v>274152.8</c:v>
                </c:pt>
                <c:pt idx="5">
                  <c:v>509289.02</c:v>
                </c:pt>
                <c:pt idx="6">
                  <c:v>268216.58999999997</c:v>
                </c:pt>
                <c:pt idx="7">
                  <c:v>419058.96</c:v>
                </c:pt>
                <c:pt idx="8">
                  <c:v>499458.39999999997</c:v>
                </c:pt>
                <c:pt idx="9">
                  <c:v>784582.24</c:v>
                </c:pt>
                <c:pt idx="10">
                  <c:v>439949.5</c:v>
                </c:pt>
                <c:pt idx="11">
                  <c:v>164993.91999999998</c:v>
                </c:pt>
                <c:pt idx="12">
                  <c:v>691359.6</c:v>
                </c:pt>
                <c:pt idx="13">
                  <c:v>1986884.4</c:v>
                </c:pt>
                <c:pt idx="14">
                  <c:v>153464</c:v>
                </c:pt>
                <c:pt idx="15">
                  <c:v>1116362.4000000004</c:v>
                </c:pt>
              </c:numCache>
            </c:numRef>
          </c:val>
          <c:extLst>
            <c:ext xmlns:c16="http://schemas.microsoft.com/office/drawing/2014/chart" uri="{C3380CC4-5D6E-409C-BE32-E72D297353CC}">
              <c16:uniqueId val="{00000093-C352-4863-AC12-A5FDE06D36C8}"/>
            </c:ext>
          </c:extLst>
        </c:ser>
        <c:ser>
          <c:idx val="13"/>
          <c:order val="13"/>
          <c:tx>
            <c:strRef>
              <c:f>'Pivot-Analysis'!$Q$742:$Q$744</c:f>
              <c:strCache>
                <c:ptCount val="1"/>
                <c:pt idx="0">
                  <c:v>Germany - Midmarket</c:v>
                </c:pt>
              </c:strCache>
            </c:strRef>
          </c:tx>
          <c:spPr>
            <a:solidFill>
              <a:schemeClr val="accent2">
                <a:lumMod val="80000"/>
                <a:lumOff val="2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'Pivot-Analysis'!$Q$745:$Q$763</c:f>
              <c:numCache>
                <c:formatCode>General</c:formatCode>
                <c:ptCount val="16"/>
                <c:pt idx="0">
                  <c:v>8613</c:v>
                </c:pt>
                <c:pt idx="1">
                  <c:v>56599.5</c:v>
                </c:pt>
                <c:pt idx="2">
                  <c:v>13240.5</c:v>
                </c:pt>
                <c:pt idx="3">
                  <c:v>30153</c:v>
                </c:pt>
                <c:pt idx="4">
                  <c:v>9193.5</c:v>
                </c:pt>
                <c:pt idx="5">
                  <c:v>3586.2</c:v>
                </c:pt>
                <c:pt idx="6">
                  <c:v>13815</c:v>
                </c:pt>
                <c:pt idx="7">
                  <c:v>6885</c:v>
                </c:pt>
                <c:pt idx="8">
                  <c:v>21573</c:v>
                </c:pt>
                <c:pt idx="9">
                  <c:v>26640</c:v>
                </c:pt>
                <c:pt idx="10">
                  <c:v>6273</c:v>
                </c:pt>
                <c:pt idx="11">
                  <c:v>24576.3</c:v>
                </c:pt>
                <c:pt idx="12">
                  <c:v>11092.95</c:v>
                </c:pt>
                <c:pt idx="13">
                  <c:v>29962.5</c:v>
                </c:pt>
                <c:pt idx="14">
                  <c:v>19517.7</c:v>
                </c:pt>
                <c:pt idx="15">
                  <c:v>19623.599999999999</c:v>
                </c:pt>
              </c:numCache>
            </c:numRef>
          </c:val>
          <c:extLst>
            <c:ext xmlns:c16="http://schemas.microsoft.com/office/drawing/2014/chart" uri="{C3380CC4-5D6E-409C-BE32-E72D297353CC}">
              <c16:uniqueId val="{00000094-C352-4863-AC12-A5FDE06D36C8}"/>
            </c:ext>
          </c:extLst>
        </c:ser>
        <c:ser>
          <c:idx val="14"/>
          <c:order val="14"/>
          <c:tx>
            <c:strRef>
              <c:f>'Pivot-Analysis'!$R$742:$R$744</c:f>
              <c:strCache>
                <c:ptCount val="1"/>
                <c:pt idx="0">
                  <c:v>Germany - Small Business</c:v>
                </c:pt>
              </c:strCache>
            </c:strRef>
          </c:tx>
          <c:spPr>
            <a:solidFill>
              <a:schemeClr val="accent3">
                <a:lumMod val="80000"/>
                <a:lumOff val="2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'Pivot-Analysis'!$R$745:$R$763</c:f>
              <c:numCache>
                <c:formatCode>General</c:formatCode>
                <c:ptCount val="16"/>
                <c:pt idx="0">
                  <c:v>313317</c:v>
                </c:pt>
                <c:pt idx="1">
                  <c:v>125832</c:v>
                </c:pt>
                <c:pt idx="2">
                  <c:v>654288</c:v>
                </c:pt>
                <c:pt idx="3">
                  <c:v>91182</c:v>
                </c:pt>
                <c:pt idx="4">
                  <c:v>210627</c:v>
                </c:pt>
                <c:pt idx="5">
                  <c:v>725907</c:v>
                </c:pt>
                <c:pt idx="6">
                  <c:v>76146</c:v>
                </c:pt>
                <c:pt idx="7">
                  <c:v>407376</c:v>
                </c:pt>
                <c:pt idx="8">
                  <c:v>508032</c:v>
                </c:pt>
                <c:pt idx="9">
                  <c:v>400998</c:v>
                </c:pt>
                <c:pt idx="10">
                  <c:v>750537</c:v>
                </c:pt>
                <c:pt idx="11">
                  <c:v>535392</c:v>
                </c:pt>
                <c:pt idx="12">
                  <c:v>292842</c:v>
                </c:pt>
                <c:pt idx="13">
                  <c:v>1164096</c:v>
                </c:pt>
                <c:pt idx="14">
                  <c:v>358776</c:v>
                </c:pt>
                <c:pt idx="15">
                  <c:v>712500</c:v>
                </c:pt>
              </c:numCache>
            </c:numRef>
          </c:val>
          <c:extLst>
            <c:ext xmlns:c16="http://schemas.microsoft.com/office/drawing/2014/chart" uri="{C3380CC4-5D6E-409C-BE32-E72D297353CC}">
              <c16:uniqueId val="{00000095-C352-4863-AC12-A5FDE06D36C8}"/>
            </c:ext>
          </c:extLst>
        </c:ser>
        <c:ser>
          <c:idx val="15"/>
          <c:order val="15"/>
          <c:tx>
            <c:strRef>
              <c:f>'Pivot-Analysis'!$T$742:$T$744</c:f>
              <c:strCache>
                <c:ptCount val="1"/>
                <c:pt idx="0">
                  <c:v>Mexico - Channel Partners</c:v>
                </c:pt>
              </c:strCache>
            </c:strRef>
          </c:tx>
          <c:spPr>
            <a:solidFill>
              <a:schemeClr val="accent4">
                <a:lumMod val="80000"/>
                <a:lumOff val="2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'Pivot-Analysis'!$T$745:$T$763</c:f>
              <c:numCache>
                <c:formatCode>General</c:formatCode>
                <c:ptCount val="16"/>
                <c:pt idx="0">
                  <c:v>10733.4</c:v>
                </c:pt>
                <c:pt idx="1">
                  <c:v>8015.28</c:v>
                </c:pt>
                <c:pt idx="2">
                  <c:v>30835.08</c:v>
                </c:pt>
                <c:pt idx="3">
                  <c:v>15180</c:v>
                </c:pt>
                <c:pt idx="4">
                  <c:v>26114.400000000001</c:v>
                </c:pt>
                <c:pt idx="5">
                  <c:v>8113.32</c:v>
                </c:pt>
                <c:pt idx="6">
                  <c:v>5100</c:v>
                </c:pt>
                <c:pt idx="7">
                  <c:v>22302.240000000002</c:v>
                </c:pt>
                <c:pt idx="8">
                  <c:v>28100.16</c:v>
                </c:pt>
                <c:pt idx="9">
                  <c:v>12611.52</c:v>
                </c:pt>
                <c:pt idx="10">
                  <c:v>5961.24</c:v>
                </c:pt>
                <c:pt idx="11">
                  <c:v>12802.2</c:v>
                </c:pt>
                <c:pt idx="12">
                  <c:v>6339.36</c:v>
                </c:pt>
                <c:pt idx="13">
                  <c:v>8560.7999999999993</c:v>
                </c:pt>
                <c:pt idx="14">
                  <c:v>8114.4</c:v>
                </c:pt>
                <c:pt idx="15">
                  <c:v>25495.68</c:v>
                </c:pt>
              </c:numCache>
            </c:numRef>
          </c:val>
          <c:extLst>
            <c:ext xmlns:c16="http://schemas.microsoft.com/office/drawing/2014/chart" uri="{C3380CC4-5D6E-409C-BE32-E72D297353CC}">
              <c16:uniqueId val="{00000096-C352-4863-AC12-A5FDE06D36C8}"/>
            </c:ext>
          </c:extLst>
        </c:ser>
        <c:ser>
          <c:idx val="16"/>
          <c:order val="16"/>
          <c:tx>
            <c:strRef>
              <c:f>'Pivot-Analysis'!$U$742:$U$744</c:f>
              <c:strCache>
                <c:ptCount val="1"/>
                <c:pt idx="0">
                  <c:v>Mexico - Enterprise</c:v>
                </c:pt>
              </c:strCache>
            </c:strRef>
          </c:tx>
          <c:spPr>
            <a:solidFill>
              <a:schemeClr val="accent5">
                <a:lumMod val="80000"/>
                <a:lumOff val="2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'Pivot-Analysis'!$U$745:$U$763</c:f>
              <c:numCache>
                <c:formatCode>General</c:formatCode>
                <c:ptCount val="16"/>
                <c:pt idx="0">
                  <c:v>105353.75</c:v>
                </c:pt>
                <c:pt idx="1">
                  <c:v>525525</c:v>
                </c:pt>
                <c:pt idx="2">
                  <c:v>203350</c:v>
                </c:pt>
                <c:pt idx="3">
                  <c:v>303257.5</c:v>
                </c:pt>
                <c:pt idx="4">
                  <c:v>61632.5</c:v>
                </c:pt>
                <c:pt idx="5">
                  <c:v>169312.5</c:v>
                </c:pt>
                <c:pt idx="6">
                  <c:v>128110</c:v>
                </c:pt>
                <c:pt idx="7">
                  <c:v>128880</c:v>
                </c:pt>
                <c:pt idx="8">
                  <c:v>38362.5</c:v>
                </c:pt>
                <c:pt idx="9">
                  <c:v>162190</c:v>
                </c:pt>
                <c:pt idx="10">
                  <c:v>225596.25</c:v>
                </c:pt>
                <c:pt idx="11">
                  <c:v>177100</c:v>
                </c:pt>
                <c:pt idx="12">
                  <c:v>240012.5</c:v>
                </c:pt>
                <c:pt idx="13">
                  <c:v>474320</c:v>
                </c:pt>
                <c:pt idx="14">
                  <c:v>99758.75</c:v>
                </c:pt>
                <c:pt idx="15">
                  <c:v>273120</c:v>
                </c:pt>
              </c:numCache>
            </c:numRef>
          </c:val>
          <c:extLst>
            <c:ext xmlns:c16="http://schemas.microsoft.com/office/drawing/2014/chart" uri="{C3380CC4-5D6E-409C-BE32-E72D297353CC}">
              <c16:uniqueId val="{00000097-C352-4863-AC12-A5FDE06D36C8}"/>
            </c:ext>
          </c:extLst>
        </c:ser>
        <c:ser>
          <c:idx val="17"/>
          <c:order val="17"/>
          <c:tx>
            <c:strRef>
              <c:f>'Pivot-Analysis'!$V$742:$V$744</c:f>
              <c:strCache>
                <c:ptCount val="1"/>
                <c:pt idx="0">
                  <c:v>Mexico - Government</c:v>
                </c:pt>
              </c:strCache>
            </c:strRef>
          </c:tx>
          <c:spPr>
            <a:solidFill>
              <a:schemeClr val="accent6">
                <a:lumMod val="80000"/>
                <a:lumOff val="2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'Pivot-Analysis'!$V$745:$V$763</c:f>
              <c:numCache>
                <c:formatCode>General</c:formatCode>
                <c:ptCount val="16"/>
                <c:pt idx="0">
                  <c:v>285462.8</c:v>
                </c:pt>
                <c:pt idx="1">
                  <c:v>295473.07999999996</c:v>
                </c:pt>
                <c:pt idx="2">
                  <c:v>677893.28</c:v>
                </c:pt>
                <c:pt idx="3">
                  <c:v>688614.64</c:v>
                </c:pt>
                <c:pt idx="4">
                  <c:v>827061.7</c:v>
                </c:pt>
                <c:pt idx="5">
                  <c:v>639251.6</c:v>
                </c:pt>
                <c:pt idx="6">
                  <c:v>456712.66</c:v>
                </c:pt>
                <c:pt idx="7">
                  <c:v>381862.05</c:v>
                </c:pt>
                <c:pt idx="8">
                  <c:v>887383.16</c:v>
                </c:pt>
                <c:pt idx="9">
                  <c:v>603272.88</c:v>
                </c:pt>
                <c:pt idx="10">
                  <c:v>480088.95</c:v>
                </c:pt>
                <c:pt idx="11">
                  <c:v>574967.4</c:v>
                </c:pt>
                <c:pt idx="12">
                  <c:v>622369.39999999991</c:v>
                </c:pt>
                <c:pt idx="13">
                  <c:v>1035740.7</c:v>
                </c:pt>
                <c:pt idx="14">
                  <c:v>408277.94</c:v>
                </c:pt>
                <c:pt idx="15">
                  <c:v>927167.14000000013</c:v>
                </c:pt>
              </c:numCache>
            </c:numRef>
          </c:val>
          <c:extLst>
            <c:ext xmlns:c16="http://schemas.microsoft.com/office/drawing/2014/chart" uri="{C3380CC4-5D6E-409C-BE32-E72D297353CC}">
              <c16:uniqueId val="{00000098-C352-4863-AC12-A5FDE06D36C8}"/>
            </c:ext>
          </c:extLst>
        </c:ser>
        <c:ser>
          <c:idx val="18"/>
          <c:order val="18"/>
          <c:tx>
            <c:strRef>
              <c:f>'Pivot-Analysis'!$W$742:$W$744</c:f>
              <c:strCache>
                <c:ptCount val="1"/>
                <c:pt idx="0">
                  <c:v>Mexico - Midmarket</c:v>
                </c:pt>
              </c:strCache>
            </c:strRef>
          </c:tx>
          <c:spPr>
            <a:solidFill>
              <a:schemeClr val="accent1">
                <a:lumMod val="8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'Pivot-Analysis'!$W$745:$W$763</c:f>
              <c:numCache>
                <c:formatCode>General</c:formatCode>
                <c:ptCount val="16"/>
                <c:pt idx="0">
                  <c:v>8744.25</c:v>
                </c:pt>
                <c:pt idx="1">
                  <c:v>43603.199999999997</c:v>
                </c:pt>
                <c:pt idx="2">
                  <c:v>24123</c:v>
                </c:pt>
                <c:pt idx="3">
                  <c:v>5016</c:v>
                </c:pt>
                <c:pt idx="4">
                  <c:v>40769.25</c:v>
                </c:pt>
                <c:pt idx="5">
                  <c:v>14610</c:v>
                </c:pt>
                <c:pt idx="6">
                  <c:v>32877.9</c:v>
                </c:pt>
                <c:pt idx="7">
                  <c:v>35872.199999999997</c:v>
                </c:pt>
                <c:pt idx="8">
                  <c:v>3344.25</c:v>
                </c:pt>
                <c:pt idx="9">
                  <c:v>74100</c:v>
                </c:pt>
                <c:pt idx="10">
                  <c:v>8653.5</c:v>
                </c:pt>
                <c:pt idx="11">
                  <c:v>26486.400000000001</c:v>
                </c:pt>
                <c:pt idx="12">
                  <c:v>37080</c:v>
                </c:pt>
                <c:pt idx="13">
                  <c:v>58492.800000000003</c:v>
                </c:pt>
                <c:pt idx="14">
                  <c:v>39771.75</c:v>
                </c:pt>
                <c:pt idx="15">
                  <c:v>57591.9</c:v>
                </c:pt>
              </c:numCache>
            </c:numRef>
          </c:val>
          <c:extLst>
            <c:ext xmlns:c16="http://schemas.microsoft.com/office/drawing/2014/chart" uri="{C3380CC4-5D6E-409C-BE32-E72D297353CC}">
              <c16:uniqueId val="{00000099-C352-4863-AC12-A5FDE06D36C8}"/>
            </c:ext>
          </c:extLst>
        </c:ser>
        <c:ser>
          <c:idx val="19"/>
          <c:order val="19"/>
          <c:tx>
            <c:strRef>
              <c:f>'Pivot-Analysis'!$X$742:$X$744</c:f>
              <c:strCache>
                <c:ptCount val="1"/>
                <c:pt idx="0">
                  <c:v>Mexico - Small Business</c:v>
                </c:pt>
              </c:strCache>
            </c:strRef>
          </c:tx>
          <c:spPr>
            <a:solidFill>
              <a:schemeClr val="accent2">
                <a:lumMod val="8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'Pivot-Analysis'!$X$745:$X$763</c:f>
              <c:numCache>
                <c:formatCode>General</c:formatCode>
                <c:ptCount val="16"/>
                <c:pt idx="0">
                  <c:v>236400</c:v>
                </c:pt>
                <c:pt idx="1">
                  <c:v>293436</c:v>
                </c:pt>
                <c:pt idx="2">
                  <c:v>679905</c:v>
                </c:pt>
                <c:pt idx="3">
                  <c:v>313500</c:v>
                </c:pt>
                <c:pt idx="4">
                  <c:v>700245</c:v>
                </c:pt>
                <c:pt idx="5">
                  <c:v>766413</c:v>
                </c:pt>
                <c:pt idx="6">
                  <c:v>323694</c:v>
                </c:pt>
                <c:pt idx="7">
                  <c:v>457995</c:v>
                </c:pt>
                <c:pt idx="8">
                  <c:v>159570</c:v>
                </c:pt>
                <c:pt idx="9">
                  <c:v>1357920</c:v>
                </c:pt>
                <c:pt idx="10">
                  <c:v>206658</c:v>
                </c:pt>
                <c:pt idx="11">
                  <c:v>287400</c:v>
                </c:pt>
                <c:pt idx="12">
                  <c:v>116640</c:v>
                </c:pt>
                <c:pt idx="13">
                  <c:v>278460</c:v>
                </c:pt>
                <c:pt idx="14">
                  <c:v>567600</c:v>
                </c:pt>
                <c:pt idx="15">
                  <c:v>350520</c:v>
                </c:pt>
              </c:numCache>
            </c:numRef>
          </c:val>
          <c:extLst>
            <c:ext xmlns:c16="http://schemas.microsoft.com/office/drawing/2014/chart" uri="{C3380CC4-5D6E-409C-BE32-E72D297353CC}">
              <c16:uniqueId val="{0000009A-C352-4863-AC12-A5FDE06D36C8}"/>
            </c:ext>
          </c:extLst>
        </c:ser>
        <c:ser>
          <c:idx val="20"/>
          <c:order val="20"/>
          <c:tx>
            <c:strRef>
              <c:f>'Pivot-Analysis'!$Z$742:$Z$744</c:f>
              <c:strCache>
                <c:ptCount val="1"/>
                <c:pt idx="0">
                  <c:v>United States of America - Channel Partners</c:v>
                </c:pt>
              </c:strCache>
            </c:strRef>
          </c:tx>
          <c:spPr>
            <a:solidFill>
              <a:schemeClr val="accent3">
                <a:lumMod val="8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'Pivot-Analysis'!$Z$745:$Z$763</c:f>
              <c:numCache>
                <c:formatCode>General</c:formatCode>
                <c:ptCount val="16"/>
                <c:pt idx="0">
                  <c:v>23629.32</c:v>
                </c:pt>
                <c:pt idx="1">
                  <c:v>8337.6</c:v>
                </c:pt>
                <c:pt idx="2">
                  <c:v>10944</c:v>
                </c:pt>
                <c:pt idx="3">
                  <c:v>20794.8</c:v>
                </c:pt>
                <c:pt idx="4">
                  <c:v>21359.52</c:v>
                </c:pt>
                <c:pt idx="5">
                  <c:v>22073.040000000001</c:v>
                </c:pt>
                <c:pt idx="6">
                  <c:v>16876.8</c:v>
                </c:pt>
                <c:pt idx="7">
                  <c:v>23436</c:v>
                </c:pt>
                <c:pt idx="8">
                  <c:v>18421.2</c:v>
                </c:pt>
                <c:pt idx="9">
                  <c:v>26859.84</c:v>
                </c:pt>
                <c:pt idx="10">
                  <c:v>15940.98</c:v>
                </c:pt>
                <c:pt idx="11">
                  <c:v>25692</c:v>
                </c:pt>
                <c:pt idx="12">
                  <c:v>22663.08</c:v>
                </c:pt>
                <c:pt idx="13">
                  <c:v>60144.959999999999</c:v>
                </c:pt>
                <c:pt idx="14">
                  <c:v>30715.439999999999</c:v>
                </c:pt>
                <c:pt idx="15">
                  <c:v>18645.599999999999</c:v>
                </c:pt>
              </c:numCache>
            </c:numRef>
          </c:val>
          <c:extLst>
            <c:ext xmlns:c16="http://schemas.microsoft.com/office/drawing/2014/chart" uri="{C3380CC4-5D6E-409C-BE32-E72D297353CC}">
              <c16:uniqueId val="{0000009B-C352-4863-AC12-A5FDE06D36C8}"/>
            </c:ext>
          </c:extLst>
        </c:ser>
        <c:ser>
          <c:idx val="21"/>
          <c:order val="21"/>
          <c:tx>
            <c:strRef>
              <c:f>'Pivot-Analysis'!$AA$742:$AA$744</c:f>
              <c:strCache>
                <c:ptCount val="1"/>
                <c:pt idx="0">
                  <c:v>United States of America - Enterprise</c:v>
                </c:pt>
              </c:strCache>
            </c:strRef>
          </c:tx>
          <c:spPr>
            <a:solidFill>
              <a:schemeClr val="accent4">
                <a:lumMod val="8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'Pivot-Analysis'!$AA$745:$AA$763</c:f>
              <c:numCache>
                <c:formatCode>General</c:formatCode>
                <c:ptCount val="16"/>
                <c:pt idx="0">
                  <c:v>40837.5</c:v>
                </c:pt>
                <c:pt idx="1">
                  <c:v>164092.5</c:v>
                </c:pt>
                <c:pt idx="2">
                  <c:v>202950</c:v>
                </c:pt>
                <c:pt idx="3">
                  <c:v>259037.5</c:v>
                </c:pt>
                <c:pt idx="4">
                  <c:v>65137.5</c:v>
                </c:pt>
                <c:pt idx="5">
                  <c:v>323712.5</c:v>
                </c:pt>
                <c:pt idx="6">
                  <c:v>355300</c:v>
                </c:pt>
                <c:pt idx="7">
                  <c:v>387618.75</c:v>
                </c:pt>
                <c:pt idx="8">
                  <c:v>305730</c:v>
                </c:pt>
                <c:pt idx="9">
                  <c:v>179932.5</c:v>
                </c:pt>
                <c:pt idx="10">
                  <c:v>430706.25</c:v>
                </c:pt>
                <c:pt idx="11">
                  <c:v>352625</c:v>
                </c:pt>
                <c:pt idx="12">
                  <c:v>179550</c:v>
                </c:pt>
                <c:pt idx="13">
                  <c:v>204487.5</c:v>
                </c:pt>
                <c:pt idx="14">
                  <c:v>262570</c:v>
                </c:pt>
                <c:pt idx="15">
                  <c:v>636317.5</c:v>
                </c:pt>
              </c:numCache>
            </c:numRef>
          </c:val>
          <c:extLst>
            <c:ext xmlns:c16="http://schemas.microsoft.com/office/drawing/2014/chart" uri="{C3380CC4-5D6E-409C-BE32-E72D297353CC}">
              <c16:uniqueId val="{0000009C-C352-4863-AC12-A5FDE06D36C8}"/>
            </c:ext>
          </c:extLst>
        </c:ser>
        <c:ser>
          <c:idx val="22"/>
          <c:order val="22"/>
          <c:tx>
            <c:strRef>
              <c:f>'Pivot-Analysis'!$AB$742:$AB$744</c:f>
              <c:strCache>
                <c:ptCount val="1"/>
                <c:pt idx="0">
                  <c:v>United States of America - Government</c:v>
                </c:pt>
              </c:strCache>
            </c:strRef>
          </c:tx>
          <c:spPr>
            <a:solidFill>
              <a:schemeClr val="accent5">
                <a:lumMod val="8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'Pivot-Analysis'!$AB$745:$AB$763</c:f>
              <c:numCache>
                <c:formatCode>General</c:formatCode>
                <c:ptCount val="16"/>
                <c:pt idx="0">
                  <c:v>133762.6</c:v>
                </c:pt>
                <c:pt idx="1">
                  <c:v>523515.83999999997</c:v>
                </c:pt>
                <c:pt idx="2">
                  <c:v>622848.04</c:v>
                </c:pt>
                <c:pt idx="3">
                  <c:v>131477.78</c:v>
                </c:pt>
                <c:pt idx="4">
                  <c:v>328940.71999999997</c:v>
                </c:pt>
                <c:pt idx="5">
                  <c:v>137018.22</c:v>
                </c:pt>
                <c:pt idx="6">
                  <c:v>600751.27</c:v>
                </c:pt>
                <c:pt idx="7">
                  <c:v>472008.98000000004</c:v>
                </c:pt>
                <c:pt idx="8">
                  <c:v>774049.15</c:v>
                </c:pt>
                <c:pt idx="9">
                  <c:v>484949.76000000001</c:v>
                </c:pt>
                <c:pt idx="10">
                  <c:v>1184757.57</c:v>
                </c:pt>
                <c:pt idx="11">
                  <c:v>942379.32</c:v>
                </c:pt>
                <c:pt idx="12">
                  <c:v>694555.1</c:v>
                </c:pt>
                <c:pt idx="13">
                  <c:v>684765.2</c:v>
                </c:pt>
                <c:pt idx="14">
                  <c:v>382063.57</c:v>
                </c:pt>
                <c:pt idx="15">
                  <c:v>292903</c:v>
                </c:pt>
              </c:numCache>
            </c:numRef>
          </c:val>
          <c:extLst>
            <c:ext xmlns:c16="http://schemas.microsoft.com/office/drawing/2014/chart" uri="{C3380CC4-5D6E-409C-BE32-E72D297353CC}">
              <c16:uniqueId val="{0000009D-C352-4863-AC12-A5FDE06D36C8}"/>
            </c:ext>
          </c:extLst>
        </c:ser>
        <c:ser>
          <c:idx val="23"/>
          <c:order val="23"/>
          <c:tx>
            <c:strRef>
              <c:f>'Pivot-Analysis'!$AC$742:$AC$744</c:f>
              <c:strCache>
                <c:ptCount val="1"/>
                <c:pt idx="0">
                  <c:v>United States of America - Midmarket</c:v>
                </c:pt>
              </c:strCache>
            </c:strRef>
          </c:tx>
          <c:spPr>
            <a:solidFill>
              <a:schemeClr val="accent6">
                <a:lumMod val="8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'Pivot-Analysis'!$AC$745:$AC$763</c:f>
              <c:numCache>
                <c:formatCode>General</c:formatCode>
                <c:ptCount val="16"/>
                <c:pt idx="0">
                  <c:v>40887.449999999997</c:v>
                </c:pt>
                <c:pt idx="1">
                  <c:v>19324.8</c:v>
                </c:pt>
                <c:pt idx="2">
                  <c:v>33633.599999999999</c:v>
                </c:pt>
                <c:pt idx="3">
                  <c:v>28297.5</c:v>
                </c:pt>
                <c:pt idx="4">
                  <c:v>7908.75</c:v>
                </c:pt>
                <c:pt idx="5">
                  <c:v>22482.9</c:v>
                </c:pt>
                <c:pt idx="6">
                  <c:v>8936.4</c:v>
                </c:pt>
                <c:pt idx="7">
                  <c:v>50163.75</c:v>
                </c:pt>
                <c:pt idx="8">
                  <c:v>10665</c:v>
                </c:pt>
                <c:pt idx="9">
                  <c:v>66998.7</c:v>
                </c:pt>
                <c:pt idx="10">
                  <c:v>42713.33</c:v>
                </c:pt>
                <c:pt idx="11">
                  <c:v>30991.8</c:v>
                </c:pt>
                <c:pt idx="12">
                  <c:v>22794.3</c:v>
                </c:pt>
                <c:pt idx="13">
                  <c:v>32514.6</c:v>
                </c:pt>
                <c:pt idx="14">
                  <c:v>28623</c:v>
                </c:pt>
                <c:pt idx="15">
                  <c:v>18450</c:v>
                </c:pt>
              </c:numCache>
            </c:numRef>
          </c:val>
          <c:extLst>
            <c:ext xmlns:c16="http://schemas.microsoft.com/office/drawing/2014/chart" uri="{C3380CC4-5D6E-409C-BE32-E72D297353CC}">
              <c16:uniqueId val="{0000009E-C352-4863-AC12-A5FDE06D36C8}"/>
            </c:ext>
          </c:extLst>
        </c:ser>
        <c:ser>
          <c:idx val="24"/>
          <c:order val="24"/>
          <c:tx>
            <c:strRef>
              <c:f>'Pivot-Analysis'!$AD$742:$AD$744</c:f>
              <c:strCache>
                <c:ptCount val="1"/>
                <c:pt idx="0">
                  <c:v>United States of America - Small Business</c:v>
                </c:pt>
              </c:strCache>
            </c:strRef>
          </c:tx>
          <c:spPr>
            <a:solidFill>
              <a:schemeClr val="accent1">
                <a:lumMod val="60000"/>
                <a:lumOff val="40000"/>
              </a:schemeClr>
            </a:solidFill>
            <a:ln>
              <a:noFill/>
            </a:ln>
            <a:effectLst/>
          </c:spPr>
          <c:invertIfNegative val="0"/>
          <c:cat>
            <c:multiLvlStrRef>
              <c:f>'Pivot-Analysis'!$A$745:$A$763</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'Pivot-Analysis'!$AD$745:$AD$763</c:f>
              <c:numCache>
                <c:formatCode>General</c:formatCode>
                <c:ptCount val="16"/>
                <c:pt idx="0">
                  <c:v>741906</c:v>
                </c:pt>
                <c:pt idx="1">
                  <c:v>1238760</c:v>
                </c:pt>
                <c:pt idx="2">
                  <c:v>656370</c:v>
                </c:pt>
                <c:pt idx="3">
                  <c:v>223008</c:v>
                </c:pt>
                <c:pt idx="4">
                  <c:v>922680</c:v>
                </c:pt>
                <c:pt idx="5">
                  <c:v>827604</c:v>
                </c:pt>
                <c:pt idx="6">
                  <c:v>808110</c:v>
                </c:pt>
                <c:pt idx="7">
                  <c:v>683397</c:v>
                </c:pt>
                <c:pt idx="8">
                  <c:v>840384</c:v>
                </c:pt>
                <c:pt idx="9">
                  <c:v>564870</c:v>
                </c:pt>
                <c:pt idx="10">
                  <c:v>634680</c:v>
                </c:pt>
                <c:pt idx="11">
                  <c:v>655578</c:v>
                </c:pt>
                <c:pt idx="12">
                  <c:v>509691</c:v>
                </c:pt>
                <c:pt idx="13">
                  <c:v>521160</c:v>
                </c:pt>
                <c:pt idx="14">
                  <c:v>862785</c:v>
                </c:pt>
                <c:pt idx="15">
                  <c:v>765576</c:v>
                </c:pt>
              </c:numCache>
            </c:numRef>
          </c:val>
          <c:extLst>
            <c:ext xmlns:c16="http://schemas.microsoft.com/office/drawing/2014/chart" uri="{C3380CC4-5D6E-409C-BE32-E72D297353CC}">
              <c16:uniqueId val="{0000009F-C352-4863-AC12-A5FDE06D36C8}"/>
            </c:ext>
          </c:extLst>
        </c:ser>
        <c:dLbls>
          <c:showLegendKey val="0"/>
          <c:showVal val="0"/>
          <c:showCatName val="0"/>
          <c:showSerName val="0"/>
          <c:showPercent val="0"/>
          <c:showBubbleSize val="0"/>
        </c:dLbls>
        <c:gapWidth val="150"/>
        <c:overlap val="100"/>
        <c:axId val="1280044224"/>
        <c:axId val="1352020288"/>
      </c:barChart>
      <c:catAx>
        <c:axId val="1280044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020288"/>
        <c:crosses val="autoZero"/>
        <c:auto val="1"/>
        <c:lblAlgn val="ctr"/>
        <c:lblOffset val="100"/>
        <c:noMultiLvlLbl val="0"/>
      </c:catAx>
      <c:valAx>
        <c:axId val="135202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04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Excel.xlsx]Pivot-Analysis!PivotTable23</c:name>
    <c:fmtId val="2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manualLayout>
          <c:layoutTarget val="inner"/>
          <c:xMode val="edge"/>
          <c:yMode val="edge"/>
          <c:x val="7.2886482939632541E-2"/>
          <c:y val="6.4814814814814811E-2"/>
          <c:w val="0.65697003499562556"/>
          <c:h val="0.64920785943423742"/>
        </c:manualLayout>
      </c:layout>
      <c:barChart>
        <c:barDir val="col"/>
        <c:grouping val="stacked"/>
        <c:varyColors val="0"/>
        <c:ser>
          <c:idx val="0"/>
          <c:order val="0"/>
          <c:tx>
            <c:strRef>
              <c:f>'Pivot-Analysis'!$B$771:$B$772</c:f>
              <c:strCache>
                <c:ptCount val="1"/>
                <c:pt idx="0">
                  <c:v>Channel Partners</c:v>
                </c:pt>
              </c:strCache>
            </c:strRef>
          </c:tx>
          <c:spPr>
            <a:solidFill>
              <a:schemeClr val="accent1"/>
            </a:solidFill>
            <a:ln>
              <a:noFill/>
            </a:ln>
            <a:effectLst/>
          </c:spPr>
          <c:invertIfNegative val="0"/>
          <c:cat>
            <c:multiLvlStrRef>
              <c:f>'Pivot-Analysis'!$A$773:$A$791</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'Pivot-Analysis'!$B$773:$B$791</c:f>
              <c:numCache>
                <c:formatCode>General</c:formatCode>
                <c:ptCount val="16"/>
              </c:numCache>
            </c:numRef>
          </c:val>
          <c:extLst>
            <c:ext xmlns:c16="http://schemas.microsoft.com/office/drawing/2014/chart" uri="{C3380CC4-5D6E-409C-BE32-E72D297353CC}">
              <c16:uniqueId val="{00000000-F03B-415A-9E5D-CD76B98C84E9}"/>
            </c:ext>
          </c:extLst>
        </c:ser>
        <c:ser>
          <c:idx val="1"/>
          <c:order val="1"/>
          <c:tx>
            <c:strRef>
              <c:f>'Pivot-Analysis'!$C$771:$C$772</c:f>
              <c:strCache>
                <c:ptCount val="1"/>
                <c:pt idx="0">
                  <c:v>Enterprise</c:v>
                </c:pt>
              </c:strCache>
            </c:strRef>
          </c:tx>
          <c:spPr>
            <a:solidFill>
              <a:schemeClr val="accent2"/>
            </a:solidFill>
            <a:ln>
              <a:noFill/>
            </a:ln>
            <a:effectLst/>
          </c:spPr>
          <c:invertIfNegative val="0"/>
          <c:cat>
            <c:multiLvlStrRef>
              <c:f>'Pivot-Analysis'!$A$773:$A$791</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'Pivot-Analysis'!$C$773:$C$791</c:f>
              <c:numCache>
                <c:formatCode>General</c:formatCode>
                <c:ptCount val="16"/>
              </c:numCache>
            </c:numRef>
          </c:val>
          <c:extLst>
            <c:ext xmlns:c16="http://schemas.microsoft.com/office/drawing/2014/chart" uri="{C3380CC4-5D6E-409C-BE32-E72D297353CC}">
              <c16:uniqueId val="{00000001-F03B-415A-9E5D-CD76B98C84E9}"/>
            </c:ext>
          </c:extLst>
        </c:ser>
        <c:ser>
          <c:idx val="2"/>
          <c:order val="2"/>
          <c:tx>
            <c:strRef>
              <c:f>'Pivot-Analysis'!$D$771:$D$772</c:f>
              <c:strCache>
                <c:ptCount val="1"/>
                <c:pt idx="0">
                  <c:v>Government</c:v>
                </c:pt>
              </c:strCache>
            </c:strRef>
          </c:tx>
          <c:spPr>
            <a:solidFill>
              <a:schemeClr val="accent3"/>
            </a:solidFill>
            <a:ln>
              <a:noFill/>
            </a:ln>
            <a:effectLst/>
          </c:spPr>
          <c:invertIfNegative val="0"/>
          <c:cat>
            <c:multiLvlStrRef>
              <c:f>'Pivot-Analysis'!$A$773:$A$791</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'Pivot-Analysis'!$D$773:$D$791</c:f>
              <c:numCache>
                <c:formatCode>General</c:formatCode>
                <c:ptCount val="16"/>
              </c:numCache>
            </c:numRef>
          </c:val>
          <c:extLst>
            <c:ext xmlns:c16="http://schemas.microsoft.com/office/drawing/2014/chart" uri="{C3380CC4-5D6E-409C-BE32-E72D297353CC}">
              <c16:uniqueId val="{00000002-F03B-415A-9E5D-CD76B98C84E9}"/>
            </c:ext>
          </c:extLst>
        </c:ser>
        <c:ser>
          <c:idx val="3"/>
          <c:order val="3"/>
          <c:tx>
            <c:strRef>
              <c:f>'Pivot-Analysis'!$E$771:$E$772</c:f>
              <c:strCache>
                <c:ptCount val="1"/>
                <c:pt idx="0">
                  <c:v>Midmarket</c:v>
                </c:pt>
              </c:strCache>
            </c:strRef>
          </c:tx>
          <c:spPr>
            <a:solidFill>
              <a:schemeClr val="accent4"/>
            </a:solidFill>
            <a:ln>
              <a:noFill/>
            </a:ln>
            <a:effectLst/>
          </c:spPr>
          <c:invertIfNegative val="0"/>
          <c:cat>
            <c:multiLvlStrRef>
              <c:f>'Pivot-Analysis'!$A$773:$A$791</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'Pivot-Analysis'!$E$773:$E$791</c:f>
              <c:numCache>
                <c:formatCode>General</c:formatCode>
                <c:ptCount val="16"/>
              </c:numCache>
            </c:numRef>
          </c:val>
          <c:extLst>
            <c:ext xmlns:c16="http://schemas.microsoft.com/office/drawing/2014/chart" uri="{C3380CC4-5D6E-409C-BE32-E72D297353CC}">
              <c16:uniqueId val="{00000003-F03B-415A-9E5D-CD76B98C84E9}"/>
            </c:ext>
          </c:extLst>
        </c:ser>
        <c:ser>
          <c:idx val="4"/>
          <c:order val="4"/>
          <c:tx>
            <c:strRef>
              <c:f>'Pivot-Analysis'!$F$771:$F$772</c:f>
              <c:strCache>
                <c:ptCount val="1"/>
                <c:pt idx="0">
                  <c:v>Small Business</c:v>
                </c:pt>
              </c:strCache>
            </c:strRef>
          </c:tx>
          <c:spPr>
            <a:solidFill>
              <a:schemeClr val="accent5"/>
            </a:solidFill>
            <a:ln>
              <a:noFill/>
            </a:ln>
            <a:effectLst/>
          </c:spPr>
          <c:invertIfNegative val="0"/>
          <c:cat>
            <c:multiLvlStrRef>
              <c:f>'Pivot-Analysis'!$A$773:$A$791</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'Pivot-Analysis'!$F$773:$F$791</c:f>
              <c:numCache>
                <c:formatCode>General</c:formatCode>
                <c:ptCount val="16"/>
              </c:numCache>
            </c:numRef>
          </c:val>
          <c:extLst>
            <c:ext xmlns:c16="http://schemas.microsoft.com/office/drawing/2014/chart" uri="{C3380CC4-5D6E-409C-BE32-E72D297353CC}">
              <c16:uniqueId val="{00000004-F03B-415A-9E5D-CD76B98C84E9}"/>
            </c:ext>
          </c:extLst>
        </c:ser>
        <c:dLbls>
          <c:showLegendKey val="0"/>
          <c:showVal val="0"/>
          <c:showCatName val="0"/>
          <c:showSerName val="0"/>
          <c:showPercent val="0"/>
          <c:showBubbleSize val="0"/>
        </c:dLbls>
        <c:gapWidth val="150"/>
        <c:overlap val="100"/>
        <c:axId val="1164858032"/>
        <c:axId val="1351968704"/>
      </c:barChart>
      <c:catAx>
        <c:axId val="116485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968704"/>
        <c:crosses val="autoZero"/>
        <c:auto val="1"/>
        <c:lblAlgn val="ctr"/>
        <c:lblOffset val="100"/>
        <c:noMultiLvlLbl val="0"/>
      </c:catAx>
      <c:valAx>
        <c:axId val="1351968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85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Excel.xlsx]Pivot-Analysis!PivotTable13</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s>
    <c:plotArea>
      <c:layout/>
      <c:areaChart>
        <c:grouping val="standard"/>
        <c:varyColors val="0"/>
        <c:ser>
          <c:idx val="0"/>
          <c:order val="0"/>
          <c:tx>
            <c:strRef>
              <c:f>'Pivot-Analysis'!$B$797:$B$798</c:f>
              <c:strCache>
                <c:ptCount val="1"/>
                <c:pt idx="0">
                  <c:v>United States of America</c:v>
                </c:pt>
              </c:strCache>
            </c:strRef>
          </c:tx>
          <c:spPr>
            <a:solidFill>
              <a:schemeClr val="accent1"/>
            </a:solidFill>
            <a:ln w="25400">
              <a:noFill/>
            </a:ln>
            <a:effectLst/>
          </c:spPr>
          <c:cat>
            <c:multiLvlStrRef>
              <c:f>'Pivot-Analysis'!$A$799:$A$817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'Pivot-Analysis'!$B$799:$B$817</c:f>
              <c:numCache>
                <c:formatCode>General</c:formatCode>
                <c:ptCount val="16"/>
                <c:pt idx="0">
                  <c:v>981022.87</c:v>
                </c:pt>
                <c:pt idx="1">
                  <c:v>1954030.7400000002</c:v>
                </c:pt>
                <c:pt idx="2">
                  <c:v>1526745.6400000001</c:v>
                </c:pt>
                <c:pt idx="3">
                  <c:v>662615.57999999996</c:v>
                </c:pt>
                <c:pt idx="4">
                  <c:v>1346026.49</c:v>
                </c:pt>
                <c:pt idx="5">
                  <c:v>1332890.6600000001</c:v>
                </c:pt>
                <c:pt idx="6">
                  <c:v>1789974.4700000002</c:v>
                </c:pt>
                <c:pt idx="7">
                  <c:v>1616624.48</c:v>
                </c:pt>
                <c:pt idx="8">
                  <c:v>1949249.35</c:v>
                </c:pt>
                <c:pt idx="9">
                  <c:v>1323610.7999999998</c:v>
                </c:pt>
                <c:pt idx="10">
                  <c:v>2308798.13</c:v>
                </c:pt>
                <c:pt idx="11">
                  <c:v>2007266.12</c:v>
                </c:pt>
                <c:pt idx="12">
                  <c:v>1429253.48</c:v>
                </c:pt>
                <c:pt idx="13">
                  <c:v>1503072.26</c:v>
                </c:pt>
                <c:pt idx="14">
                  <c:v>1566757.01</c:v>
                </c:pt>
                <c:pt idx="15">
                  <c:v>1731892.1</c:v>
                </c:pt>
              </c:numCache>
            </c:numRef>
          </c:val>
          <c:extLst>
            <c:ext xmlns:c16="http://schemas.microsoft.com/office/drawing/2014/chart" uri="{C3380CC4-5D6E-409C-BE32-E72D297353CC}">
              <c16:uniqueId val="{00000000-AF10-449A-BFB0-52D5ED900E01}"/>
            </c:ext>
          </c:extLst>
        </c:ser>
        <c:dLbls>
          <c:showLegendKey val="0"/>
          <c:showVal val="0"/>
          <c:showCatName val="0"/>
          <c:showSerName val="0"/>
          <c:showPercent val="0"/>
          <c:showBubbleSize val="0"/>
        </c:dLbls>
        <c:axId val="1311833616"/>
        <c:axId val="1447412256"/>
      </c:areaChart>
      <c:catAx>
        <c:axId val="1311833616"/>
        <c:scaling>
          <c:orientation val="minMax"/>
        </c:scaling>
        <c:delete val="1"/>
        <c:axPos val="b"/>
        <c:numFmt formatCode="General" sourceLinked="1"/>
        <c:majorTickMark val="none"/>
        <c:minorTickMark val="none"/>
        <c:tickLblPos val="nextTo"/>
        <c:crossAx val="1447412256"/>
        <c:crosses val="autoZero"/>
        <c:auto val="1"/>
        <c:lblAlgn val="ctr"/>
        <c:lblOffset val="100"/>
        <c:noMultiLvlLbl val="0"/>
      </c:catAx>
      <c:valAx>
        <c:axId val="1447412256"/>
        <c:scaling>
          <c:orientation val="minMax"/>
        </c:scaling>
        <c:delete val="1"/>
        <c:axPos val="l"/>
        <c:numFmt formatCode="General" sourceLinked="1"/>
        <c:majorTickMark val="none"/>
        <c:minorTickMark val="none"/>
        <c:tickLblPos val="nextTo"/>
        <c:crossAx val="13118336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Excel.xlsx]Pivot-Analysis!PivotTable14</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'Pivot-Analysis'!$B$821:$B$822</c:f>
              <c:strCache>
                <c:ptCount val="1"/>
                <c:pt idx="0">
                  <c:v>Mexico</c:v>
                </c:pt>
              </c:strCache>
            </c:strRef>
          </c:tx>
          <c:spPr>
            <a:solidFill>
              <a:schemeClr val="accent1"/>
            </a:solidFill>
            <a:ln>
              <a:noFill/>
            </a:ln>
            <a:effectLst/>
          </c:spPr>
          <c:cat>
            <c:multiLvlStrRef>
              <c:f>'Pivot-Analysis'!$A$823:$A$841</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'Pivot-Analysis'!$B$823:$B$841</c:f>
              <c:numCache>
                <c:formatCode>General</c:formatCode>
                <c:ptCount val="16"/>
                <c:pt idx="0">
                  <c:v>646694.19999999995</c:v>
                </c:pt>
                <c:pt idx="1">
                  <c:v>1166052.56</c:v>
                </c:pt>
                <c:pt idx="2">
                  <c:v>1616106.3599999999</c:v>
                </c:pt>
                <c:pt idx="3">
                  <c:v>1325568.1400000001</c:v>
                </c:pt>
                <c:pt idx="4">
                  <c:v>1655822.85</c:v>
                </c:pt>
                <c:pt idx="5">
                  <c:v>1597700.42</c:v>
                </c:pt>
                <c:pt idx="6">
                  <c:v>946494.56</c:v>
                </c:pt>
                <c:pt idx="7">
                  <c:v>1026911.49</c:v>
                </c:pt>
                <c:pt idx="8">
                  <c:v>1116760.07</c:v>
                </c:pt>
                <c:pt idx="9">
                  <c:v>2210094.4</c:v>
                </c:pt>
                <c:pt idx="10">
                  <c:v>926957.94</c:v>
                </c:pt>
                <c:pt idx="11">
                  <c:v>1078756</c:v>
                </c:pt>
                <c:pt idx="12">
                  <c:v>1022441.2599999999</c:v>
                </c:pt>
                <c:pt idx="13">
                  <c:v>1855574.3</c:v>
                </c:pt>
                <c:pt idx="14">
                  <c:v>1123522.8399999999</c:v>
                </c:pt>
                <c:pt idx="15">
                  <c:v>1633894.72</c:v>
                </c:pt>
              </c:numCache>
            </c:numRef>
          </c:val>
          <c:extLst>
            <c:ext xmlns:c16="http://schemas.microsoft.com/office/drawing/2014/chart" uri="{C3380CC4-5D6E-409C-BE32-E72D297353CC}">
              <c16:uniqueId val="{00000000-6398-4496-A615-73C712DDCBC6}"/>
            </c:ext>
          </c:extLst>
        </c:ser>
        <c:dLbls>
          <c:showLegendKey val="0"/>
          <c:showVal val="0"/>
          <c:showCatName val="0"/>
          <c:showSerName val="0"/>
          <c:showPercent val="0"/>
          <c:showBubbleSize val="0"/>
        </c:dLbls>
        <c:axId val="2109100976"/>
        <c:axId val="2116275296"/>
      </c:areaChart>
      <c:catAx>
        <c:axId val="2109100976"/>
        <c:scaling>
          <c:orientation val="minMax"/>
        </c:scaling>
        <c:delete val="1"/>
        <c:axPos val="b"/>
        <c:numFmt formatCode="General" sourceLinked="1"/>
        <c:majorTickMark val="out"/>
        <c:minorTickMark val="none"/>
        <c:tickLblPos val="nextTo"/>
        <c:crossAx val="2116275296"/>
        <c:crosses val="autoZero"/>
        <c:auto val="1"/>
        <c:lblAlgn val="ctr"/>
        <c:lblOffset val="100"/>
        <c:noMultiLvlLbl val="0"/>
      </c:catAx>
      <c:valAx>
        <c:axId val="2116275296"/>
        <c:scaling>
          <c:orientation val="minMax"/>
        </c:scaling>
        <c:delete val="1"/>
        <c:axPos val="l"/>
        <c:numFmt formatCode="General" sourceLinked="1"/>
        <c:majorTickMark val="none"/>
        <c:minorTickMark val="none"/>
        <c:tickLblPos val="nextTo"/>
        <c:crossAx val="21091009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Excel.xlsx]Pivot-Analysis!PivotTable15</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'Pivot-Analysis'!$B$847:$B$848</c:f>
              <c:strCache>
                <c:ptCount val="1"/>
                <c:pt idx="0">
                  <c:v>France</c:v>
                </c:pt>
              </c:strCache>
            </c:strRef>
          </c:tx>
          <c:spPr>
            <a:solidFill>
              <a:schemeClr val="accent1"/>
            </a:solidFill>
            <a:ln>
              <a:noFill/>
            </a:ln>
            <a:effectLst/>
          </c:spPr>
          <c:cat>
            <c:multiLvlStrRef>
              <c:f>'Pivot-Analysis'!$A$849:$A$867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'Pivot-Analysis'!$B$849:$B$867</c:f>
              <c:numCache>
                <c:formatCode>General</c:formatCode>
                <c:ptCount val="16"/>
                <c:pt idx="0">
                  <c:v>175922.59</c:v>
                </c:pt>
                <c:pt idx="1">
                  <c:v>431798.95999999996</c:v>
                </c:pt>
                <c:pt idx="2">
                  <c:v>120407.3</c:v>
                </c:pt>
                <c:pt idx="3">
                  <c:v>83203.320000000007</c:v>
                </c:pt>
                <c:pt idx="4">
                  <c:v>247508.75</c:v>
                </c:pt>
                <c:pt idx="5">
                  <c:v>323158.45999999996</c:v>
                </c:pt>
                <c:pt idx="6">
                  <c:v>131492.75</c:v>
                </c:pt>
                <c:pt idx="7">
                  <c:v>136497.20000000001</c:v>
                </c:pt>
                <c:pt idx="8">
                  <c:v>156518.97</c:v>
                </c:pt>
                <c:pt idx="9">
                  <c:v>333537.98</c:v>
                </c:pt>
                <c:pt idx="10">
                  <c:v>131731.08000000002</c:v>
                </c:pt>
                <c:pt idx="11">
                  <c:v>91657.09</c:v>
                </c:pt>
                <c:pt idx="12">
                  <c:v>335839.99</c:v>
                </c:pt>
                <c:pt idx="13">
                  <c:v>481553.55999999994</c:v>
                </c:pt>
                <c:pt idx="14">
                  <c:v>144743.59</c:v>
                </c:pt>
                <c:pt idx="15">
                  <c:v>455449.19999999995</c:v>
                </c:pt>
              </c:numCache>
            </c:numRef>
          </c:val>
          <c:extLst>
            <c:ext xmlns:c16="http://schemas.microsoft.com/office/drawing/2014/chart" uri="{C3380CC4-5D6E-409C-BE32-E72D297353CC}">
              <c16:uniqueId val="{00000000-F014-4103-95CD-E7FDDCE342C2}"/>
            </c:ext>
          </c:extLst>
        </c:ser>
        <c:dLbls>
          <c:showLegendKey val="0"/>
          <c:showVal val="0"/>
          <c:showCatName val="0"/>
          <c:showSerName val="0"/>
          <c:showPercent val="0"/>
          <c:showBubbleSize val="0"/>
        </c:dLbls>
        <c:axId val="180683808"/>
        <c:axId val="147133504"/>
      </c:areaChart>
      <c:catAx>
        <c:axId val="180683808"/>
        <c:scaling>
          <c:orientation val="minMax"/>
        </c:scaling>
        <c:delete val="1"/>
        <c:axPos val="b"/>
        <c:numFmt formatCode="General" sourceLinked="1"/>
        <c:majorTickMark val="out"/>
        <c:minorTickMark val="none"/>
        <c:tickLblPos val="nextTo"/>
        <c:crossAx val="147133504"/>
        <c:crosses val="autoZero"/>
        <c:auto val="1"/>
        <c:lblAlgn val="ctr"/>
        <c:lblOffset val="100"/>
        <c:noMultiLvlLbl val="0"/>
      </c:catAx>
      <c:valAx>
        <c:axId val="147133504"/>
        <c:scaling>
          <c:orientation val="minMax"/>
        </c:scaling>
        <c:delete val="1"/>
        <c:axPos val="l"/>
        <c:numFmt formatCode="General" sourceLinked="1"/>
        <c:majorTickMark val="none"/>
        <c:minorTickMark val="none"/>
        <c:tickLblPos val="nextTo"/>
        <c:crossAx val="1806838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Excel.xlsx]Pivot-Analysis!PivotTable16</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0"/>
          <c:order val="0"/>
          <c:tx>
            <c:strRef>
              <c:f>'Pivot-Analysis'!$B$877:$B$878</c:f>
              <c:strCache>
                <c:ptCount val="1"/>
                <c:pt idx="0">
                  <c:v>Mexico</c:v>
                </c:pt>
              </c:strCache>
            </c:strRef>
          </c:tx>
          <c:spPr>
            <a:solidFill>
              <a:schemeClr val="accent1"/>
            </a:solidFill>
            <a:ln>
              <a:noFill/>
            </a:ln>
            <a:effectLst/>
          </c:spPr>
          <c:cat>
            <c:multiLvlStrRef>
              <c:f>'Pivot-Analysis'!$A$879:$A$897</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'Pivot-Analysis'!$B$879:$B$897</c:f>
              <c:numCache>
                <c:formatCode>General</c:formatCode>
                <c:ptCount val="16"/>
                <c:pt idx="0">
                  <c:v>112149.20000000001</c:v>
                </c:pt>
                <c:pt idx="1">
                  <c:v>141320.56000000003</c:v>
                </c:pt>
                <c:pt idx="2">
                  <c:v>154647.35999999999</c:v>
                </c:pt>
                <c:pt idx="3">
                  <c:v>184553.13999999998</c:v>
                </c:pt>
                <c:pt idx="4">
                  <c:v>250287.84999999998</c:v>
                </c:pt>
                <c:pt idx="5">
                  <c:v>215689.42</c:v>
                </c:pt>
                <c:pt idx="6">
                  <c:v>173589.56</c:v>
                </c:pt>
                <c:pt idx="7">
                  <c:v>170988.49</c:v>
                </c:pt>
                <c:pt idx="8">
                  <c:v>154197.07</c:v>
                </c:pt>
                <c:pt idx="9">
                  <c:v>271730.40000000002</c:v>
                </c:pt>
                <c:pt idx="10">
                  <c:v>106159.94</c:v>
                </c:pt>
                <c:pt idx="11">
                  <c:v>193822</c:v>
                </c:pt>
                <c:pt idx="12">
                  <c:v>156265.26</c:v>
                </c:pt>
                <c:pt idx="13">
                  <c:v>250624.3</c:v>
                </c:pt>
                <c:pt idx="14">
                  <c:v>115977.84</c:v>
                </c:pt>
                <c:pt idx="15">
                  <c:v>255520.71999999997</c:v>
                </c:pt>
              </c:numCache>
            </c:numRef>
          </c:val>
          <c:extLst>
            <c:ext xmlns:c16="http://schemas.microsoft.com/office/drawing/2014/chart" uri="{C3380CC4-5D6E-409C-BE32-E72D297353CC}">
              <c16:uniqueId val="{00000000-617C-4D33-95DA-E178F5E0E15F}"/>
            </c:ext>
          </c:extLst>
        </c:ser>
        <c:dLbls>
          <c:showLegendKey val="0"/>
          <c:showVal val="0"/>
          <c:showCatName val="0"/>
          <c:showSerName val="0"/>
          <c:showPercent val="0"/>
          <c:showBubbleSize val="0"/>
        </c:dLbls>
        <c:axId val="180710208"/>
        <c:axId val="147185504"/>
      </c:areaChart>
      <c:catAx>
        <c:axId val="180710208"/>
        <c:scaling>
          <c:orientation val="minMax"/>
        </c:scaling>
        <c:delete val="1"/>
        <c:axPos val="b"/>
        <c:numFmt formatCode="General" sourceLinked="1"/>
        <c:majorTickMark val="out"/>
        <c:minorTickMark val="none"/>
        <c:tickLblPos val="nextTo"/>
        <c:crossAx val="147185504"/>
        <c:crosses val="autoZero"/>
        <c:auto val="1"/>
        <c:lblAlgn val="ctr"/>
        <c:lblOffset val="100"/>
        <c:noMultiLvlLbl val="0"/>
      </c:catAx>
      <c:valAx>
        <c:axId val="147185504"/>
        <c:scaling>
          <c:orientation val="minMax"/>
        </c:scaling>
        <c:delete val="1"/>
        <c:axPos val="l"/>
        <c:numFmt formatCode="General" sourceLinked="1"/>
        <c:majorTickMark val="none"/>
        <c:minorTickMark val="none"/>
        <c:tickLblPos val="nextTo"/>
        <c:crossAx val="1807102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'Pivot-Analysis'!$A$911</c:f>
              <c:strCache>
                <c:ptCount val="1"/>
                <c:pt idx="0">
                  <c:v>High</c:v>
                </c:pt>
              </c:strCache>
            </c:strRef>
          </c:tx>
          <c:spPr>
            <a:ln w="28575" cap="rnd">
              <a:noFill/>
              <a:round/>
            </a:ln>
            <a:effectLst/>
          </c:spPr>
          <c:marker>
            <c:symbol val="circle"/>
            <c:size val="5"/>
            <c:spPr>
              <a:solidFill>
                <a:schemeClr val="accent1"/>
              </a:solidFill>
              <a:ln w="9525">
                <a:noFill/>
              </a:ln>
              <a:effectLst/>
            </c:spPr>
          </c:marker>
          <c:cat>
            <c:strRef>
              <c:f>'Pivot-Analysis'!$B$910:$F$910</c:f>
              <c:strCache>
                <c:ptCount val="5"/>
                <c:pt idx="0">
                  <c:v>Canada</c:v>
                </c:pt>
                <c:pt idx="1">
                  <c:v>France</c:v>
                </c:pt>
                <c:pt idx="2">
                  <c:v>Germany</c:v>
                </c:pt>
                <c:pt idx="3">
                  <c:v>Mexico</c:v>
                </c:pt>
                <c:pt idx="4">
                  <c:v>United States of America</c:v>
                </c:pt>
              </c:strCache>
            </c:strRef>
          </c:cat>
          <c:val>
            <c:numRef>
              <c:f>'Pivot-Analysis'!$B$911:$F$911</c:f>
              <c:numCache>
                <c:formatCode>0.0%</c:formatCode>
                <c:ptCount val="5"/>
                <c:pt idx="0">
                  <c:v>0.3833875240726109</c:v>
                </c:pt>
                <c:pt idx="1">
                  <c:v>0.33269898850708296</c:v>
                </c:pt>
                <c:pt idx="2">
                  <c:v>0.25812182993041977</c:v>
                </c:pt>
                <c:pt idx="3">
                  <c:v>0.38785196114594861</c:v>
                </c:pt>
                <c:pt idx="4">
                  <c:v>0.39632889490709394</c:v>
                </c:pt>
              </c:numCache>
            </c:numRef>
          </c:val>
          <c:smooth val="0"/>
          <c:extLst>
            <c:ext xmlns:c16="http://schemas.microsoft.com/office/drawing/2014/chart" uri="{C3380CC4-5D6E-409C-BE32-E72D297353CC}">
              <c16:uniqueId val="{00000000-9CE4-44DF-96A8-9C55636F16BB}"/>
            </c:ext>
          </c:extLst>
        </c:ser>
        <c:ser>
          <c:idx val="2"/>
          <c:order val="1"/>
          <c:tx>
            <c:strRef>
              <c:f>'Pivot-Analysis'!$A$913</c:f>
              <c:strCache>
                <c:ptCount val="1"/>
                <c:pt idx="0">
                  <c:v>Medium</c:v>
                </c:pt>
              </c:strCache>
            </c:strRef>
          </c:tx>
          <c:spPr>
            <a:ln w="28575" cap="rnd">
              <a:noFill/>
              <a:round/>
            </a:ln>
            <a:effectLst/>
          </c:spPr>
          <c:marker>
            <c:symbol val="circle"/>
            <c:size val="5"/>
            <c:spPr>
              <a:solidFill>
                <a:schemeClr val="accent3"/>
              </a:solidFill>
              <a:ln w="9525">
                <a:noFill/>
              </a:ln>
              <a:effectLst/>
            </c:spPr>
          </c:marker>
          <c:cat>
            <c:strRef>
              <c:f>'Pivot-Analysis'!$B$910:$F$910</c:f>
              <c:strCache>
                <c:ptCount val="5"/>
                <c:pt idx="0">
                  <c:v>Canada</c:v>
                </c:pt>
                <c:pt idx="1">
                  <c:v>France</c:v>
                </c:pt>
                <c:pt idx="2">
                  <c:v>Germany</c:v>
                </c:pt>
                <c:pt idx="3">
                  <c:v>Mexico</c:v>
                </c:pt>
                <c:pt idx="4">
                  <c:v>United States of America</c:v>
                </c:pt>
              </c:strCache>
            </c:strRef>
          </c:cat>
          <c:val>
            <c:numRef>
              <c:f>'Pivot-Analysis'!$B$913:$F$913</c:f>
              <c:numCache>
                <c:formatCode>0.0%</c:formatCode>
                <c:ptCount val="5"/>
                <c:pt idx="0">
                  <c:v>0.28942906738714419</c:v>
                </c:pt>
                <c:pt idx="1">
                  <c:v>0.36567731010123228</c:v>
                </c:pt>
                <c:pt idx="2">
                  <c:v>0.35607015593516433</c:v>
                </c:pt>
                <c:pt idx="3">
                  <c:v>0.35030616008852822</c:v>
                </c:pt>
                <c:pt idx="4">
                  <c:v>0.33104641540660495</c:v>
                </c:pt>
              </c:numCache>
            </c:numRef>
          </c:val>
          <c:smooth val="0"/>
          <c:extLst>
            <c:ext xmlns:c16="http://schemas.microsoft.com/office/drawing/2014/chart" uri="{C3380CC4-5D6E-409C-BE32-E72D297353CC}">
              <c16:uniqueId val="{00000002-9CE4-44DF-96A8-9C55636F16BB}"/>
            </c:ext>
          </c:extLst>
        </c:ser>
        <c:ser>
          <c:idx val="1"/>
          <c:order val="2"/>
          <c:tx>
            <c:strRef>
              <c:f>'Pivot-Analysis'!$A$912</c:f>
              <c:strCache>
                <c:ptCount val="1"/>
                <c:pt idx="0">
                  <c:v>Low</c:v>
                </c:pt>
              </c:strCache>
            </c:strRef>
          </c:tx>
          <c:spPr>
            <a:ln w="28575" cap="rnd">
              <a:noFill/>
              <a:round/>
            </a:ln>
            <a:effectLst/>
          </c:spPr>
          <c:marker>
            <c:symbol val="circle"/>
            <c:size val="5"/>
            <c:spPr>
              <a:solidFill>
                <a:schemeClr val="accent2"/>
              </a:solidFill>
              <a:ln w="9525">
                <a:noFill/>
              </a:ln>
              <a:effectLst/>
            </c:spPr>
          </c:marker>
          <c:cat>
            <c:strRef>
              <c:f>'Pivot-Analysis'!$B$910:$F$910</c:f>
              <c:strCache>
                <c:ptCount val="5"/>
                <c:pt idx="0">
                  <c:v>Canada</c:v>
                </c:pt>
                <c:pt idx="1">
                  <c:v>France</c:v>
                </c:pt>
                <c:pt idx="2">
                  <c:v>Germany</c:v>
                </c:pt>
                <c:pt idx="3">
                  <c:v>Mexico</c:v>
                </c:pt>
                <c:pt idx="4">
                  <c:v>United States of America</c:v>
                </c:pt>
              </c:strCache>
            </c:strRef>
          </c:cat>
          <c:val>
            <c:numRef>
              <c:f>'Pivot-Analysis'!$B$912:$F$912</c:f>
              <c:numCache>
                <c:formatCode>0.0%</c:formatCode>
                <c:ptCount val="5"/>
                <c:pt idx="0">
                  <c:v>0.24710370874818383</c:v>
                </c:pt>
                <c:pt idx="1">
                  <c:v>0.23133386737281628</c:v>
                </c:pt>
                <c:pt idx="2">
                  <c:v>0.25893823141135719</c:v>
                </c:pt>
                <c:pt idx="3">
                  <c:v>0.20032460346735523</c:v>
                </c:pt>
                <c:pt idx="4">
                  <c:v>0.22386433246284296</c:v>
                </c:pt>
              </c:numCache>
            </c:numRef>
          </c:val>
          <c:smooth val="0"/>
          <c:extLst>
            <c:ext xmlns:c16="http://schemas.microsoft.com/office/drawing/2014/chart" uri="{C3380CC4-5D6E-409C-BE32-E72D297353CC}">
              <c16:uniqueId val="{00000001-9CE4-44DF-96A8-9C55636F16BB}"/>
            </c:ext>
          </c:extLst>
        </c:ser>
        <c:ser>
          <c:idx val="3"/>
          <c:order val="3"/>
          <c:tx>
            <c:strRef>
              <c:f>'Pivot-Analysis'!$A$914</c:f>
              <c:strCache>
                <c:ptCount val="1"/>
                <c:pt idx="0">
                  <c:v>None</c:v>
                </c:pt>
              </c:strCache>
            </c:strRef>
          </c:tx>
          <c:spPr>
            <a:ln w="28575" cap="rnd">
              <a:noFill/>
              <a:round/>
            </a:ln>
            <a:effectLst/>
          </c:spPr>
          <c:marker>
            <c:symbol val="circle"/>
            <c:size val="5"/>
            <c:spPr>
              <a:solidFill>
                <a:schemeClr val="accent4"/>
              </a:solidFill>
              <a:ln w="9525">
                <a:noFill/>
              </a:ln>
              <a:effectLst/>
            </c:spPr>
          </c:marker>
          <c:cat>
            <c:strRef>
              <c:f>'Pivot-Analysis'!$B$910:$F$910</c:f>
              <c:strCache>
                <c:ptCount val="5"/>
                <c:pt idx="0">
                  <c:v>Canada</c:v>
                </c:pt>
                <c:pt idx="1">
                  <c:v>France</c:v>
                </c:pt>
                <c:pt idx="2">
                  <c:v>Germany</c:v>
                </c:pt>
                <c:pt idx="3">
                  <c:v>Mexico</c:v>
                </c:pt>
                <c:pt idx="4">
                  <c:v>United States of America</c:v>
                </c:pt>
              </c:strCache>
            </c:strRef>
          </c:cat>
          <c:val>
            <c:numRef>
              <c:f>'Pivot-Analysis'!$B$914:$F$914</c:f>
              <c:numCache>
                <c:formatCode>0.0%</c:formatCode>
                <c:ptCount val="5"/>
                <c:pt idx="0">
                  <c:v>8.0079699792061143E-2</c:v>
                </c:pt>
                <c:pt idx="1">
                  <c:v>7.0289834018868472E-2</c:v>
                </c:pt>
                <c:pt idx="2">
                  <c:v>0.12686978272305874</c:v>
                </c:pt>
                <c:pt idx="3">
                  <c:v>6.1517275298167959E-2</c:v>
                </c:pt>
                <c:pt idx="4">
                  <c:v>4.8760357223458103E-2</c:v>
                </c:pt>
              </c:numCache>
            </c:numRef>
          </c:val>
          <c:smooth val="0"/>
          <c:extLst>
            <c:ext xmlns:c16="http://schemas.microsoft.com/office/drawing/2014/chart" uri="{C3380CC4-5D6E-409C-BE32-E72D297353CC}">
              <c16:uniqueId val="{00000003-9CE4-44DF-96A8-9C55636F16BB}"/>
            </c:ext>
          </c:extLst>
        </c:ser>
        <c:dLbls>
          <c:showLegendKey val="0"/>
          <c:showVal val="0"/>
          <c:showCatName val="0"/>
          <c:showSerName val="0"/>
          <c:showPercent val="0"/>
          <c:showBubbleSize val="0"/>
        </c:dLbls>
        <c:marker val="1"/>
        <c:smooth val="0"/>
        <c:axId val="1950820544"/>
        <c:axId val="1954590192"/>
      </c:lineChart>
      <c:catAx>
        <c:axId val="1950820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590192"/>
        <c:crosses val="autoZero"/>
        <c:auto val="1"/>
        <c:lblAlgn val="ctr"/>
        <c:lblOffset val="100"/>
        <c:noMultiLvlLbl val="0"/>
      </c:catAx>
      <c:valAx>
        <c:axId val="1954590192"/>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820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Excel.xlsx]Pivot-Analysis!PivotTable9</c:name>
    <c:fmtId val="13"/>
  </c:pivotSource>
  <c:chart>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'Pivot-Analysis'!$B$257</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C2-4099-A7C5-C69F4EB2F4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C2-4099-A7C5-C69F4EB2F4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C2-4099-A7C5-C69F4EB2F4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BC2-4099-A7C5-C69F4EB2F48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BC2-4099-A7C5-C69F4EB2F48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BC2-4099-A7C5-C69F4EB2F48D}"/>
              </c:ext>
            </c:extLst>
          </c:dPt>
          <c:cat>
            <c:strRef>
              <c:f>'Pivot-Analysis'!$A$258:$A$264</c:f>
              <c:strCache>
                <c:ptCount val="6"/>
                <c:pt idx="0">
                  <c:v>Amarilla</c:v>
                </c:pt>
                <c:pt idx="1">
                  <c:v>Carretera</c:v>
                </c:pt>
                <c:pt idx="2">
                  <c:v>Montana</c:v>
                </c:pt>
                <c:pt idx="3">
                  <c:v>Paseo</c:v>
                </c:pt>
                <c:pt idx="4">
                  <c:v>Velo</c:v>
                </c:pt>
                <c:pt idx="5">
                  <c:v>VTT</c:v>
                </c:pt>
              </c:strCache>
            </c:strRef>
          </c:cat>
          <c:val>
            <c:numRef>
              <c:f>'Pivot-Analysis'!$B$258:$B$264</c:f>
              <c:numCache>
                <c:formatCode>General</c:formatCode>
                <c:ptCount val="6"/>
                <c:pt idx="0">
                  <c:v>17747116.069999997</c:v>
                </c:pt>
                <c:pt idx="1">
                  <c:v>13815307.889999999</c:v>
                </c:pt>
                <c:pt idx="2">
                  <c:v>15390801.880000003</c:v>
                </c:pt>
                <c:pt idx="3">
                  <c:v>33011143.960000001</c:v>
                </c:pt>
                <c:pt idx="4">
                  <c:v>18250059.469999999</c:v>
                </c:pt>
                <c:pt idx="5">
                  <c:v>20511921.020000003</c:v>
                </c:pt>
              </c:numCache>
            </c:numRef>
          </c:val>
          <c:extLst>
            <c:ext xmlns:c16="http://schemas.microsoft.com/office/drawing/2014/chart" uri="{C3380CC4-5D6E-409C-BE32-E72D297353CC}">
              <c16:uniqueId val="{00000002-835E-4134-A8E6-4859C3044276}"/>
            </c:ext>
          </c:extLst>
        </c:ser>
        <c:ser>
          <c:idx val="1"/>
          <c:order val="1"/>
          <c:tx>
            <c:strRef>
              <c:f>'Pivot-Analysis'!$C$257</c:f>
              <c:strCache>
                <c:ptCount val="1"/>
                <c:pt idx="0">
                  <c:v>Sum of Discounts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3BC2-4099-A7C5-C69F4EB2F4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3BC2-4099-A7C5-C69F4EB2F4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3BC2-4099-A7C5-C69F4EB2F4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3-3BC2-4099-A7C5-C69F4EB2F48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5-3BC2-4099-A7C5-C69F4EB2F48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7-3BC2-4099-A7C5-C69F4EB2F48D}"/>
              </c:ext>
            </c:extLst>
          </c:dPt>
          <c:cat>
            <c:strRef>
              <c:f>'Pivot-Analysis'!$A$258:$A$264</c:f>
              <c:strCache>
                <c:ptCount val="6"/>
                <c:pt idx="0">
                  <c:v>Amarilla</c:v>
                </c:pt>
                <c:pt idx="1">
                  <c:v>Carretera</c:v>
                </c:pt>
                <c:pt idx="2">
                  <c:v>Montana</c:v>
                </c:pt>
                <c:pt idx="3">
                  <c:v>Paseo</c:v>
                </c:pt>
                <c:pt idx="4">
                  <c:v>Velo</c:v>
                </c:pt>
                <c:pt idx="5">
                  <c:v>VTT</c:v>
                </c:pt>
              </c:strCache>
            </c:strRef>
          </c:cat>
          <c:val>
            <c:numRef>
              <c:f>'Pivot-Analysis'!$C$258:$C$264</c:f>
              <c:numCache>
                <c:formatCode>General</c:formatCode>
                <c:ptCount val="6"/>
                <c:pt idx="0">
                  <c:v>1290163.4500000004</c:v>
                </c:pt>
                <c:pt idx="1">
                  <c:v>1122212.6200000001</c:v>
                </c:pt>
                <c:pt idx="2">
                  <c:v>1159032.6200000001</c:v>
                </c:pt>
                <c:pt idx="3">
                  <c:v>2600518.0599999996</c:v>
                </c:pt>
                <c:pt idx="4">
                  <c:v>1576709.04</c:v>
                </c:pt>
                <c:pt idx="5">
                  <c:v>1456612.48</c:v>
                </c:pt>
              </c:numCache>
            </c:numRef>
          </c:val>
          <c:extLst>
            <c:ext xmlns:c16="http://schemas.microsoft.com/office/drawing/2014/chart" uri="{C3380CC4-5D6E-409C-BE32-E72D297353CC}">
              <c16:uniqueId val="{00000009-835E-4134-A8E6-4859C3044276}"/>
            </c:ext>
          </c:extLst>
        </c:ser>
        <c:dLbls>
          <c:showLegendKey val="0"/>
          <c:showVal val="0"/>
          <c:showCatName val="0"/>
          <c:showSerName val="0"/>
          <c:showPercent val="0"/>
          <c:showBubbleSize val="0"/>
          <c:showLeaderLines val="1"/>
        </c:dLbls>
        <c:firstSliceAng val="0"/>
        <c:holeSize val="9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Excel.xlsx]Pivot-Analysis!Discount effect on Sales</c:name>
    <c:fmtId val="1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bg1"/>
          </a:solidFill>
          <a:ln>
            <a:solidFill>
              <a:schemeClr val="bg1"/>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noFill/>
          <a:ln>
            <a:solidFill>
              <a:schemeClr val="bg1"/>
            </a:solidFill>
          </a:ln>
          <a:effectLst>
            <a:outerShdw blurRad="254000" sx="102000" sy="102000" algn="ctr" rotWithShape="0">
              <a:prstClr val="black">
                <a:alpha val="20000"/>
              </a:prstClr>
            </a:outerShdw>
          </a:effectLst>
        </c:spPr>
      </c:pivotFmt>
      <c:pivotFmt>
        <c:idx val="2"/>
        <c:spPr>
          <a:solidFill>
            <a:schemeClr val="bg1">
              <a:alpha val="19000"/>
            </a:schemeClr>
          </a:solidFill>
          <a:ln>
            <a:solidFill>
              <a:schemeClr val="bg1"/>
            </a:solidFill>
          </a:ln>
          <a:effectLst>
            <a:outerShdw blurRad="254000" sx="102000" sy="102000" algn="ctr" rotWithShape="0">
              <a:prstClr val="black">
                <a:alpha val="20000"/>
              </a:prstClr>
            </a:outerShdw>
          </a:effectLst>
        </c:spPr>
      </c:pivotFmt>
      <c:pivotFmt>
        <c:idx val="3"/>
        <c:spPr>
          <a:solidFill>
            <a:schemeClr val="bg1">
              <a:alpha val="42000"/>
            </a:schemeClr>
          </a:solidFill>
          <a:ln>
            <a:solidFill>
              <a:schemeClr val="bg1"/>
            </a:solidFill>
          </a:ln>
          <a:effectLst>
            <a:outerShdw blurRad="254000" sx="102000" sy="102000" algn="ctr" rotWithShape="0">
              <a:prstClr val="black">
                <a:alpha val="20000"/>
              </a:prstClr>
            </a:outerShdw>
          </a:effectLst>
        </c:spPr>
      </c:pivotFmt>
      <c:pivotFmt>
        <c:idx val="4"/>
        <c:spPr>
          <a:solidFill>
            <a:schemeClr val="bg1"/>
          </a:solidFill>
          <a:ln>
            <a:solidFill>
              <a:schemeClr val="bg1"/>
            </a:solidFill>
          </a:ln>
          <a:effectLst>
            <a:outerShdw blurRad="254000" sx="102000" sy="102000" algn="ctr" rotWithShape="0">
              <a:prstClr val="black">
                <a:alpha val="20000"/>
              </a:prstClr>
            </a:outerShdw>
          </a:effectLst>
        </c:spPr>
      </c:pivotFmt>
    </c:pivotFmts>
    <c:plotArea>
      <c:layout/>
      <c:doughnutChart>
        <c:varyColors val="1"/>
        <c:ser>
          <c:idx val="0"/>
          <c:order val="0"/>
          <c:tx>
            <c:strRef>
              <c:f>'Pivot-Analysis'!$B$112</c:f>
              <c:strCache>
                <c:ptCount val="1"/>
                <c:pt idx="0">
                  <c:v>Total</c:v>
                </c:pt>
              </c:strCache>
            </c:strRef>
          </c:tx>
          <c:spPr>
            <a:solidFill>
              <a:schemeClr val="bg1"/>
            </a:solidFill>
            <a:ln>
              <a:solidFill>
                <a:schemeClr val="bg1"/>
              </a:solidFill>
            </a:ln>
          </c:spPr>
          <c:dPt>
            <c:idx val="0"/>
            <c:bubble3D val="0"/>
            <c:spPr>
              <a:no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2FEB-4CAE-9218-51CCAA6C57CD}"/>
              </c:ext>
            </c:extLst>
          </c:dPt>
          <c:dPt>
            <c:idx val="1"/>
            <c:bubble3D val="0"/>
            <c:spPr>
              <a:solidFill>
                <a:schemeClr val="bg1">
                  <a:alpha val="19000"/>
                </a:schemeClr>
              </a:solid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FEB-4CAE-9218-51CCAA6C57CD}"/>
              </c:ext>
            </c:extLst>
          </c:dPt>
          <c:dPt>
            <c:idx val="2"/>
            <c:bubble3D val="0"/>
            <c:spPr>
              <a:solidFill>
                <a:schemeClr val="bg1">
                  <a:alpha val="42000"/>
                </a:schemeClr>
              </a:solid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2FEB-4CAE-9218-51CCAA6C57CD}"/>
              </c:ext>
            </c:extLst>
          </c:dPt>
          <c:dPt>
            <c:idx val="3"/>
            <c:bubble3D val="0"/>
            <c:spPr>
              <a:solidFill>
                <a:schemeClr val="bg1"/>
              </a:solid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02D-4E09-9629-B4069763F15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'Pivot-Analysis'!$A$113:$A$117</c:f>
              <c:strCache>
                <c:ptCount val="4"/>
                <c:pt idx="0">
                  <c:v>Medium</c:v>
                </c:pt>
                <c:pt idx="1">
                  <c:v>High</c:v>
                </c:pt>
                <c:pt idx="2">
                  <c:v>Low</c:v>
                </c:pt>
                <c:pt idx="3">
                  <c:v>None</c:v>
                </c:pt>
              </c:strCache>
            </c:strRef>
          </c:cat>
          <c:val>
            <c:numRef>
              <c:f>'Pivot-Analysis'!$B$113:$B$117</c:f>
              <c:numCache>
                <c:formatCode>General</c:formatCode>
                <c:ptCount val="4"/>
                <c:pt idx="0">
                  <c:v>38780430.840000004</c:v>
                </c:pt>
                <c:pt idx="1">
                  <c:v>37372486.740000002</c:v>
                </c:pt>
                <c:pt idx="2">
                  <c:v>34629778.709999986</c:v>
                </c:pt>
                <c:pt idx="3">
                  <c:v>7943654</c:v>
                </c:pt>
              </c:numCache>
            </c:numRef>
          </c:val>
          <c:extLst>
            <c:ext xmlns:c16="http://schemas.microsoft.com/office/drawing/2014/chart" uri="{C3380CC4-5D6E-409C-BE32-E72D297353CC}">
              <c16:uniqueId val="{00000000-2FEB-4CAE-9218-51CCAA6C57C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Excel.xlsx]Pivot-Analysis!DB_UnitSold</c:name>
    <c:fmtId val="27"/>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pivotFmt>
      <c:pivotFmt>
        <c:idx val="2"/>
        <c:spPr>
          <a:solidFill>
            <a:schemeClr val="lt1"/>
          </a:solidFill>
          <a:ln w="19050">
            <a:solidFill>
              <a:schemeClr val="accent1"/>
            </a:solidFill>
          </a:ln>
          <a:effectLst/>
        </c:spPr>
      </c:pivotFmt>
      <c:pivotFmt>
        <c:idx val="3"/>
        <c:spPr>
          <a:solidFill>
            <a:schemeClr val="lt1"/>
          </a:solidFill>
          <a:ln w="19050">
            <a:solidFill>
              <a:schemeClr val="accent1"/>
            </a:solidFill>
          </a:ln>
          <a:effectLst/>
        </c:spPr>
      </c:pivotFmt>
      <c:pivotFmt>
        <c:idx val="4"/>
        <c:spPr>
          <a:solidFill>
            <a:schemeClr val="lt1"/>
          </a:solidFill>
          <a:ln w="19050">
            <a:solidFill>
              <a:schemeClr val="accent1"/>
            </a:solidFill>
          </a:ln>
          <a:effectLst/>
        </c:spPr>
      </c:pivotFmt>
    </c:pivotFmts>
    <c:plotArea>
      <c:layout/>
      <c:pieChart>
        <c:varyColors val="1"/>
        <c:ser>
          <c:idx val="0"/>
          <c:order val="0"/>
          <c:tx>
            <c:strRef>
              <c:f>'Pivot-Analysis'!$B$379</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D37D-47E1-A3F3-0E50EECA9581}"/>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D37D-47E1-A3F3-0E50EECA9581}"/>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D37D-47E1-A3F3-0E50EECA9581}"/>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D37D-47E1-A3F3-0E50EECA958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'Pivot-Analysis'!$A$380:$A$384</c:f>
              <c:strCache>
                <c:ptCount val="4"/>
                <c:pt idx="0">
                  <c:v>High</c:v>
                </c:pt>
                <c:pt idx="1">
                  <c:v>Medium</c:v>
                </c:pt>
                <c:pt idx="2">
                  <c:v>Low</c:v>
                </c:pt>
                <c:pt idx="3">
                  <c:v>None</c:v>
                </c:pt>
              </c:strCache>
            </c:strRef>
          </c:cat>
          <c:val>
            <c:numRef>
              <c:f>'Pivot-Analysis'!$B$380:$B$384</c:f>
              <c:numCache>
                <c:formatCode>0.00%</c:formatCode>
                <c:ptCount val="4"/>
                <c:pt idx="0">
                  <c:v>0.35360044270504865</c:v>
                </c:pt>
                <c:pt idx="1">
                  <c:v>0.33726814388979987</c:v>
                </c:pt>
                <c:pt idx="2">
                  <c:v>0.23259646866333986</c:v>
                </c:pt>
                <c:pt idx="3">
                  <c:v>7.6534944741811647E-2</c:v>
                </c:pt>
              </c:numCache>
            </c:numRef>
          </c:val>
          <c:extLst>
            <c:ext xmlns:c16="http://schemas.microsoft.com/office/drawing/2014/chart" uri="{C3380CC4-5D6E-409C-BE32-E72D297353CC}">
              <c16:uniqueId val="{00000000-EC4C-48A2-9E46-25E3406A6C0B}"/>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Excel.xlsx]Pivot-Analysis!PivotTable19</c:name>
    <c:fmtId val="22"/>
  </c:pivotSource>
  <c:chart>
    <c:autoTitleDeleted val="0"/>
    <c:pivotFmts>
      <c:pivotFmt>
        <c:idx val="0"/>
        <c:spPr>
          <a:ln w="28575" cap="rnd">
            <a:noFill/>
            <a:round/>
          </a:ln>
          <a:effectLst/>
        </c:spPr>
        <c:marker>
          <c:symbol val="circle"/>
          <c:size val="5"/>
          <c:spPr>
            <a:solidFill>
              <a:schemeClr val="accent1"/>
            </a:solidFill>
            <a:ln w="9525">
              <a:noFill/>
            </a:ln>
            <a:effectLst/>
          </c:spPr>
        </c:marker>
      </c:pivotFmt>
      <c:pivotFmt>
        <c:idx val="1"/>
        <c:spPr>
          <a:ln w="25400" cap="rnd">
            <a:noFill/>
            <a:round/>
          </a:ln>
          <a:effectLst/>
        </c:spPr>
        <c:marker>
          <c:symbol val="circle"/>
          <c:size val="5"/>
          <c:spPr>
            <a:solidFill>
              <a:schemeClr val="accent2"/>
            </a:solidFill>
            <a:ln w="9525">
              <a:noFill/>
            </a:ln>
            <a:effectLst/>
          </c:spPr>
        </c:marker>
      </c:pivotFmt>
      <c:pivotFmt>
        <c:idx val="2"/>
        <c:spPr>
          <a:ln w="25400" cap="rnd">
            <a:noFill/>
            <a:round/>
          </a:ln>
          <a:effectLst/>
        </c:spPr>
        <c:marker>
          <c:symbol val="circle"/>
          <c:size val="5"/>
          <c:spPr>
            <a:solidFill>
              <a:schemeClr val="accent3"/>
            </a:solidFill>
            <a:ln w="9525">
              <a:noFill/>
            </a:ln>
            <a:effectLst/>
          </c:spPr>
        </c:marker>
      </c:pivotFmt>
      <c:pivotFmt>
        <c:idx val="3"/>
        <c:spPr>
          <a:ln w="25400" cap="rnd">
            <a:noFill/>
            <a:round/>
          </a:ln>
          <a:effectLst/>
        </c:spPr>
        <c:marker>
          <c:symbol val="circle"/>
          <c:size val="5"/>
          <c:spPr>
            <a:solidFill>
              <a:schemeClr val="accent4"/>
            </a:solidFill>
            <a:ln w="9525">
              <a:noFill/>
            </a:ln>
            <a:effectLst/>
          </c:spPr>
        </c:marker>
      </c:pivotFmt>
      <c:pivotFmt>
        <c:idx val="4"/>
        <c:spPr>
          <a:ln w="25400" cap="rnd">
            <a:noFill/>
            <a:round/>
          </a:ln>
          <a:effectLst/>
        </c:spPr>
        <c:marker>
          <c:symbol val="circle"/>
          <c:size val="5"/>
          <c:spPr>
            <a:solidFill>
              <a:schemeClr val="accent5"/>
            </a:solidFill>
            <a:ln w="9525">
              <a:noFill/>
            </a:ln>
            <a:effectLst/>
          </c:spPr>
        </c:marker>
      </c:pivotFmt>
      <c:pivotFmt>
        <c:idx val="5"/>
        <c:spPr>
          <a:ln w="25400" cap="rnd">
            <a:noFill/>
            <a:round/>
          </a:ln>
          <a:effectLst/>
        </c:spPr>
        <c:marker>
          <c:symbol val="circle"/>
          <c:size val="5"/>
          <c:spPr>
            <a:solidFill>
              <a:schemeClr val="accent6"/>
            </a:solidFill>
            <a:ln w="9525">
              <a:noFill/>
            </a:ln>
            <a:effectLst/>
          </c:spPr>
        </c:marker>
      </c:pivotFmt>
    </c:pivotFmts>
    <c:plotArea>
      <c:layout>
        <c:manualLayout>
          <c:layoutTarget val="inner"/>
          <c:xMode val="edge"/>
          <c:yMode val="edge"/>
          <c:x val="0.30335870516185476"/>
          <c:y val="7.407407407407407E-2"/>
          <c:w val="0.69469247594050743"/>
          <c:h val="0.74077974628171483"/>
        </c:manualLayout>
      </c:layout>
      <c:lineChart>
        <c:grouping val="stacked"/>
        <c:varyColors val="0"/>
        <c:ser>
          <c:idx val="0"/>
          <c:order val="0"/>
          <c:tx>
            <c:strRef>
              <c:f>'Pivot-Analysis'!$B$946:$B$947</c:f>
              <c:strCache>
                <c:ptCount val="1"/>
                <c:pt idx="0">
                  <c:v>Amarilla</c:v>
                </c:pt>
              </c:strCache>
            </c:strRef>
          </c:tx>
          <c:spPr>
            <a:ln w="28575" cap="rnd">
              <a:noFill/>
              <a:round/>
            </a:ln>
            <a:effectLst/>
          </c:spPr>
          <c:marker>
            <c:symbol val="circle"/>
            <c:size val="5"/>
            <c:spPr>
              <a:solidFill>
                <a:schemeClr val="accent1"/>
              </a:solidFill>
              <a:ln w="9525">
                <a:noFill/>
              </a:ln>
              <a:effectLst/>
            </c:spPr>
          </c:marker>
          <c:cat>
            <c:multiLvlStrRef>
              <c:f>'Pivot-Analysis'!$A$948:$A$966</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'Pivot-Analysis'!$B$948:$B$966</c:f>
              <c:numCache>
                <c:formatCode>General</c:formatCode>
                <c:ptCount val="16"/>
                <c:pt idx="0">
                  <c:v>6691</c:v>
                </c:pt>
                <c:pt idx="1">
                  <c:v>14044</c:v>
                </c:pt>
                <c:pt idx="2">
                  <c:v>5709</c:v>
                </c:pt>
                <c:pt idx="3">
                  <c:v>7244</c:v>
                </c:pt>
                <c:pt idx="4">
                  <c:v>10019.5</c:v>
                </c:pt>
                <c:pt idx="5">
                  <c:v>8475</c:v>
                </c:pt>
                <c:pt idx="6">
                  <c:v>7716</c:v>
                </c:pt>
                <c:pt idx="7">
                  <c:v>10767</c:v>
                </c:pt>
                <c:pt idx="8">
                  <c:v>10237</c:v>
                </c:pt>
                <c:pt idx="9">
                  <c:v>13985</c:v>
                </c:pt>
                <c:pt idx="10">
                  <c:v>11620.5</c:v>
                </c:pt>
                <c:pt idx="11">
                  <c:v>8865</c:v>
                </c:pt>
                <c:pt idx="12">
                  <c:v>9240</c:v>
                </c:pt>
                <c:pt idx="13">
                  <c:v>12612</c:v>
                </c:pt>
                <c:pt idx="14">
                  <c:v>6509</c:v>
                </c:pt>
                <c:pt idx="15">
                  <c:v>11581</c:v>
                </c:pt>
              </c:numCache>
            </c:numRef>
          </c:val>
          <c:smooth val="0"/>
          <c:extLst>
            <c:ext xmlns:c16="http://schemas.microsoft.com/office/drawing/2014/chart" uri="{C3380CC4-5D6E-409C-BE32-E72D297353CC}">
              <c16:uniqueId val="{00000000-E1B5-4963-9582-B05533C2D08F}"/>
            </c:ext>
          </c:extLst>
        </c:ser>
        <c:ser>
          <c:idx val="1"/>
          <c:order val="1"/>
          <c:tx>
            <c:strRef>
              <c:f>'Pivot-Analysis'!$C$946:$C$947</c:f>
              <c:strCache>
                <c:ptCount val="1"/>
                <c:pt idx="0">
                  <c:v>Carretera</c:v>
                </c:pt>
              </c:strCache>
            </c:strRef>
          </c:tx>
          <c:spPr>
            <a:ln w="25400" cap="rnd">
              <a:noFill/>
              <a:round/>
            </a:ln>
            <a:effectLst/>
          </c:spPr>
          <c:marker>
            <c:symbol val="circle"/>
            <c:size val="5"/>
            <c:spPr>
              <a:solidFill>
                <a:schemeClr val="accent2"/>
              </a:solidFill>
              <a:ln w="9525">
                <a:noFill/>
              </a:ln>
              <a:effectLst/>
            </c:spPr>
          </c:marker>
          <c:cat>
            <c:multiLvlStrRef>
              <c:f>'Pivot-Analysis'!$A$948:$A$966</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'Pivot-Analysis'!$C$948:$C$966</c:f>
              <c:numCache>
                <c:formatCode>General</c:formatCode>
                <c:ptCount val="16"/>
                <c:pt idx="0">
                  <c:v>6045</c:v>
                </c:pt>
                <c:pt idx="1">
                  <c:v>11571</c:v>
                </c:pt>
                <c:pt idx="2">
                  <c:v>7690</c:v>
                </c:pt>
                <c:pt idx="3">
                  <c:v>6098</c:v>
                </c:pt>
                <c:pt idx="4">
                  <c:v>6578.5</c:v>
                </c:pt>
                <c:pt idx="5">
                  <c:v>7503</c:v>
                </c:pt>
                <c:pt idx="6">
                  <c:v>6476</c:v>
                </c:pt>
                <c:pt idx="7">
                  <c:v>13590.5</c:v>
                </c:pt>
                <c:pt idx="8">
                  <c:v>4800</c:v>
                </c:pt>
                <c:pt idx="9">
                  <c:v>15055</c:v>
                </c:pt>
                <c:pt idx="10">
                  <c:v>6960</c:v>
                </c:pt>
                <c:pt idx="11">
                  <c:v>7365</c:v>
                </c:pt>
                <c:pt idx="12">
                  <c:v>8205</c:v>
                </c:pt>
                <c:pt idx="13">
                  <c:v>15082</c:v>
                </c:pt>
                <c:pt idx="14">
                  <c:v>9513</c:v>
                </c:pt>
                <c:pt idx="15">
                  <c:v>14314</c:v>
                </c:pt>
              </c:numCache>
            </c:numRef>
          </c:val>
          <c:smooth val="0"/>
          <c:extLst>
            <c:ext xmlns:c16="http://schemas.microsoft.com/office/drawing/2014/chart" uri="{C3380CC4-5D6E-409C-BE32-E72D297353CC}">
              <c16:uniqueId val="{00000028-4FE4-4B5D-ABF4-A0480EC129E2}"/>
            </c:ext>
          </c:extLst>
        </c:ser>
        <c:ser>
          <c:idx val="2"/>
          <c:order val="2"/>
          <c:tx>
            <c:strRef>
              <c:f>'Pivot-Analysis'!$D$946:$D$947</c:f>
              <c:strCache>
                <c:ptCount val="1"/>
                <c:pt idx="0">
                  <c:v>Montana</c:v>
                </c:pt>
              </c:strCache>
            </c:strRef>
          </c:tx>
          <c:spPr>
            <a:ln w="25400" cap="rnd">
              <a:noFill/>
              <a:round/>
            </a:ln>
            <a:effectLst/>
          </c:spPr>
          <c:marker>
            <c:symbol val="circle"/>
            <c:size val="5"/>
            <c:spPr>
              <a:solidFill>
                <a:schemeClr val="accent3"/>
              </a:solidFill>
              <a:ln w="9525">
                <a:noFill/>
              </a:ln>
              <a:effectLst/>
            </c:spPr>
          </c:marker>
          <c:cat>
            <c:multiLvlStrRef>
              <c:f>'Pivot-Analysis'!$A$948:$A$966</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'Pivot-Analysis'!$D$948:$D$966</c:f>
              <c:numCache>
                <c:formatCode>General</c:formatCode>
                <c:ptCount val="16"/>
                <c:pt idx="0">
                  <c:v>6620</c:v>
                </c:pt>
                <c:pt idx="1">
                  <c:v>17608</c:v>
                </c:pt>
                <c:pt idx="2">
                  <c:v>7821</c:v>
                </c:pt>
                <c:pt idx="3">
                  <c:v>4231</c:v>
                </c:pt>
                <c:pt idx="4">
                  <c:v>7700.5</c:v>
                </c:pt>
                <c:pt idx="5">
                  <c:v>5405</c:v>
                </c:pt>
                <c:pt idx="6">
                  <c:v>8280</c:v>
                </c:pt>
                <c:pt idx="7">
                  <c:v>10055.5</c:v>
                </c:pt>
                <c:pt idx="8">
                  <c:v>8300</c:v>
                </c:pt>
                <c:pt idx="9">
                  <c:v>14069</c:v>
                </c:pt>
                <c:pt idx="10">
                  <c:v>10568</c:v>
                </c:pt>
                <c:pt idx="11">
                  <c:v>6209</c:v>
                </c:pt>
                <c:pt idx="12">
                  <c:v>7826</c:v>
                </c:pt>
                <c:pt idx="13">
                  <c:v>14304</c:v>
                </c:pt>
                <c:pt idx="14">
                  <c:v>10418</c:v>
                </c:pt>
                <c:pt idx="15">
                  <c:v>14783</c:v>
                </c:pt>
              </c:numCache>
            </c:numRef>
          </c:val>
          <c:smooth val="0"/>
          <c:extLst>
            <c:ext xmlns:c16="http://schemas.microsoft.com/office/drawing/2014/chart" uri="{C3380CC4-5D6E-409C-BE32-E72D297353CC}">
              <c16:uniqueId val="{00000029-4FE4-4B5D-ABF4-A0480EC129E2}"/>
            </c:ext>
          </c:extLst>
        </c:ser>
        <c:ser>
          <c:idx val="3"/>
          <c:order val="3"/>
          <c:tx>
            <c:strRef>
              <c:f>'Pivot-Analysis'!$E$946:$E$947</c:f>
              <c:strCache>
                <c:ptCount val="1"/>
                <c:pt idx="0">
                  <c:v>Paseo</c:v>
                </c:pt>
              </c:strCache>
            </c:strRef>
          </c:tx>
          <c:spPr>
            <a:ln w="25400" cap="rnd">
              <a:noFill/>
              <a:round/>
            </a:ln>
            <a:effectLst/>
          </c:spPr>
          <c:marker>
            <c:symbol val="circle"/>
            <c:size val="5"/>
            <c:spPr>
              <a:solidFill>
                <a:schemeClr val="accent4"/>
              </a:solidFill>
              <a:ln w="9525">
                <a:noFill/>
              </a:ln>
              <a:effectLst/>
            </c:spPr>
          </c:marker>
          <c:cat>
            <c:multiLvlStrRef>
              <c:f>'Pivot-Analysis'!$A$948:$A$966</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'Pivot-Analysis'!$E$948:$E$966</c:f>
              <c:numCache>
                <c:formatCode>General</c:formatCode>
                <c:ptCount val="16"/>
                <c:pt idx="0">
                  <c:v>15790</c:v>
                </c:pt>
                <c:pt idx="1">
                  <c:v>26789</c:v>
                </c:pt>
                <c:pt idx="2">
                  <c:v>20812</c:v>
                </c:pt>
                <c:pt idx="3">
                  <c:v>18856</c:v>
                </c:pt>
                <c:pt idx="4">
                  <c:v>23598</c:v>
                </c:pt>
                <c:pt idx="5">
                  <c:v>14629</c:v>
                </c:pt>
                <c:pt idx="6">
                  <c:v>16695</c:v>
                </c:pt>
                <c:pt idx="7">
                  <c:v>23653</c:v>
                </c:pt>
                <c:pt idx="8">
                  <c:v>15417</c:v>
                </c:pt>
                <c:pt idx="9">
                  <c:v>25598</c:v>
                </c:pt>
                <c:pt idx="10">
                  <c:v>22637.5</c:v>
                </c:pt>
                <c:pt idx="11">
                  <c:v>18834</c:v>
                </c:pt>
                <c:pt idx="12">
                  <c:v>17416</c:v>
                </c:pt>
                <c:pt idx="13">
                  <c:v>29623</c:v>
                </c:pt>
                <c:pt idx="14">
                  <c:v>14129</c:v>
                </c:pt>
                <c:pt idx="15">
                  <c:v>33763</c:v>
                </c:pt>
              </c:numCache>
            </c:numRef>
          </c:val>
          <c:smooth val="0"/>
          <c:extLst>
            <c:ext xmlns:c16="http://schemas.microsoft.com/office/drawing/2014/chart" uri="{C3380CC4-5D6E-409C-BE32-E72D297353CC}">
              <c16:uniqueId val="{0000002A-4FE4-4B5D-ABF4-A0480EC129E2}"/>
            </c:ext>
          </c:extLst>
        </c:ser>
        <c:ser>
          <c:idx val="4"/>
          <c:order val="4"/>
          <c:tx>
            <c:strRef>
              <c:f>'Pivot-Analysis'!$F$946:$F$947</c:f>
              <c:strCache>
                <c:ptCount val="1"/>
                <c:pt idx="0">
                  <c:v>Velo</c:v>
                </c:pt>
              </c:strCache>
            </c:strRef>
          </c:tx>
          <c:spPr>
            <a:ln w="25400" cap="rnd">
              <a:noFill/>
              <a:round/>
            </a:ln>
            <a:effectLst/>
          </c:spPr>
          <c:marker>
            <c:symbol val="circle"/>
            <c:size val="5"/>
            <c:spPr>
              <a:solidFill>
                <a:schemeClr val="accent5"/>
              </a:solidFill>
              <a:ln w="9525">
                <a:noFill/>
              </a:ln>
              <a:effectLst/>
            </c:spPr>
          </c:marker>
          <c:cat>
            <c:multiLvlStrRef>
              <c:f>'Pivot-Analysis'!$A$948:$A$966</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'Pivot-Analysis'!$F$948:$F$966</c:f>
              <c:numCache>
                <c:formatCode>General</c:formatCode>
                <c:ptCount val="16"/>
                <c:pt idx="0">
                  <c:v>7502</c:v>
                </c:pt>
                <c:pt idx="1">
                  <c:v>13836</c:v>
                </c:pt>
                <c:pt idx="2">
                  <c:v>10193</c:v>
                </c:pt>
                <c:pt idx="3">
                  <c:v>7940</c:v>
                </c:pt>
                <c:pt idx="4">
                  <c:v>9971.5</c:v>
                </c:pt>
                <c:pt idx="5">
                  <c:v>7893</c:v>
                </c:pt>
                <c:pt idx="6">
                  <c:v>6691</c:v>
                </c:pt>
                <c:pt idx="7">
                  <c:v>11458.5</c:v>
                </c:pt>
                <c:pt idx="8">
                  <c:v>7015</c:v>
                </c:pt>
                <c:pt idx="9">
                  <c:v>16953</c:v>
                </c:pt>
                <c:pt idx="10">
                  <c:v>11253.5</c:v>
                </c:pt>
                <c:pt idx="11">
                  <c:v>9765</c:v>
                </c:pt>
                <c:pt idx="12">
                  <c:v>7023</c:v>
                </c:pt>
                <c:pt idx="13">
                  <c:v>15749</c:v>
                </c:pt>
                <c:pt idx="14">
                  <c:v>6992</c:v>
                </c:pt>
                <c:pt idx="15">
                  <c:v>12189</c:v>
                </c:pt>
              </c:numCache>
            </c:numRef>
          </c:val>
          <c:smooth val="0"/>
          <c:extLst>
            <c:ext xmlns:c16="http://schemas.microsoft.com/office/drawing/2014/chart" uri="{C3380CC4-5D6E-409C-BE32-E72D297353CC}">
              <c16:uniqueId val="{0000002B-4FE4-4B5D-ABF4-A0480EC129E2}"/>
            </c:ext>
          </c:extLst>
        </c:ser>
        <c:ser>
          <c:idx val="5"/>
          <c:order val="5"/>
          <c:tx>
            <c:strRef>
              <c:f>'Pivot-Analysis'!$G$946:$G$947</c:f>
              <c:strCache>
                <c:ptCount val="1"/>
                <c:pt idx="0">
                  <c:v>VTT</c:v>
                </c:pt>
              </c:strCache>
            </c:strRef>
          </c:tx>
          <c:spPr>
            <a:ln w="25400" cap="rnd">
              <a:noFill/>
              <a:round/>
            </a:ln>
            <a:effectLst/>
          </c:spPr>
          <c:marker>
            <c:symbol val="circle"/>
            <c:size val="5"/>
            <c:spPr>
              <a:solidFill>
                <a:schemeClr val="accent6"/>
              </a:solidFill>
              <a:ln w="9525">
                <a:noFill/>
              </a:ln>
              <a:effectLst/>
            </c:spPr>
          </c:marker>
          <c:cat>
            <c:multiLvlStrRef>
              <c:f>'Pivot-Analysis'!$A$948:$A$966</c:f>
              <c:multiLvlStrCache>
                <c:ptCount val="16"/>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lvl>
                <c:lvl>
                  <c:pt idx="0">
                    <c:v>2013</c:v>
                  </c:pt>
                  <c:pt idx="4">
                    <c:v>2014</c:v>
                  </c:pt>
                </c:lvl>
              </c:multiLvlStrCache>
            </c:multiLvlStrRef>
          </c:cat>
          <c:val>
            <c:numRef>
              <c:f>'Pivot-Analysis'!$G$948:$G$966</c:f>
              <c:numCache>
                <c:formatCode>General</c:formatCode>
                <c:ptCount val="16"/>
                <c:pt idx="0">
                  <c:v>7953</c:v>
                </c:pt>
                <c:pt idx="1">
                  <c:v>11774</c:v>
                </c:pt>
                <c:pt idx="2">
                  <c:v>13256</c:v>
                </c:pt>
                <c:pt idx="3">
                  <c:v>8601</c:v>
                </c:pt>
                <c:pt idx="4">
                  <c:v>9967.5</c:v>
                </c:pt>
                <c:pt idx="5">
                  <c:v>11210</c:v>
                </c:pt>
                <c:pt idx="6">
                  <c:v>7562</c:v>
                </c:pt>
                <c:pt idx="7">
                  <c:v>9362</c:v>
                </c:pt>
                <c:pt idx="8">
                  <c:v>6002</c:v>
                </c:pt>
                <c:pt idx="9">
                  <c:v>17642</c:v>
                </c:pt>
                <c:pt idx="10">
                  <c:v>6309.5</c:v>
                </c:pt>
                <c:pt idx="11">
                  <c:v>9667</c:v>
                </c:pt>
                <c:pt idx="12">
                  <c:v>7570</c:v>
                </c:pt>
                <c:pt idx="13">
                  <c:v>18112</c:v>
                </c:pt>
                <c:pt idx="14">
                  <c:v>8089</c:v>
                </c:pt>
                <c:pt idx="15">
                  <c:v>15706</c:v>
                </c:pt>
              </c:numCache>
            </c:numRef>
          </c:val>
          <c:smooth val="0"/>
          <c:extLst>
            <c:ext xmlns:c16="http://schemas.microsoft.com/office/drawing/2014/chart" uri="{C3380CC4-5D6E-409C-BE32-E72D297353CC}">
              <c16:uniqueId val="{0000002C-4FE4-4B5D-ABF4-A0480EC129E2}"/>
            </c:ext>
          </c:extLst>
        </c:ser>
        <c:dLbls>
          <c:showLegendKey val="0"/>
          <c:showVal val="0"/>
          <c:showCatName val="0"/>
          <c:showSerName val="0"/>
          <c:showPercent val="0"/>
          <c:showBubbleSize val="0"/>
        </c:dLbls>
        <c:marker val="1"/>
        <c:smooth val="0"/>
        <c:axId val="1531271311"/>
        <c:axId val="1644774591"/>
      </c:lineChart>
      <c:catAx>
        <c:axId val="153127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774591"/>
        <c:crosses val="autoZero"/>
        <c:auto val="1"/>
        <c:lblAlgn val="ctr"/>
        <c:lblOffset val="100"/>
        <c:noMultiLvlLbl val="0"/>
      </c:catAx>
      <c:valAx>
        <c:axId val="16447745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7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Data - Sales &amp; Profit Analysis with Excel.xlsx]Sheet2!PivotTable1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Sheet2!$A$4:$A$154</c:f>
              <c:strCache>
                <c:ptCount val="150"/>
                <c:pt idx="0">
                  <c:v>Government-United States of America-Paseo</c:v>
                </c:pt>
                <c:pt idx="1">
                  <c:v>Government-Canada-Paseo</c:v>
                </c:pt>
                <c:pt idx="2">
                  <c:v>Enterprise-Mexico-VTT</c:v>
                </c:pt>
                <c:pt idx="3">
                  <c:v>Government-Germany-Paseo</c:v>
                </c:pt>
                <c:pt idx="4">
                  <c:v>Midmarket-France-Paseo</c:v>
                </c:pt>
                <c:pt idx="5">
                  <c:v>Government-Mexico-Paseo</c:v>
                </c:pt>
                <c:pt idx="6">
                  <c:v>Government-France-Paseo</c:v>
                </c:pt>
                <c:pt idx="7">
                  <c:v>Government-France-Velo</c:v>
                </c:pt>
                <c:pt idx="8">
                  <c:v>Midmarket-United States of America-Paseo</c:v>
                </c:pt>
                <c:pt idx="9">
                  <c:v>Midmarket-Canada-Paseo</c:v>
                </c:pt>
                <c:pt idx="10">
                  <c:v>Enterprise-Germany-Velo</c:v>
                </c:pt>
                <c:pt idx="11">
                  <c:v>Enterprise-Germany-Paseo</c:v>
                </c:pt>
                <c:pt idx="12">
                  <c:v>Government-United States of America-VTT</c:v>
                </c:pt>
                <c:pt idx="13">
                  <c:v>Government-United States of America-Carretera</c:v>
                </c:pt>
                <c:pt idx="14">
                  <c:v>Enterprise-France-Paseo</c:v>
                </c:pt>
                <c:pt idx="15">
                  <c:v>Government-Canada-Velo</c:v>
                </c:pt>
                <c:pt idx="16">
                  <c:v>Channel Partners-Canada-Paseo</c:v>
                </c:pt>
                <c:pt idx="17">
                  <c:v>Government-Canada-Montana</c:v>
                </c:pt>
                <c:pt idx="18">
                  <c:v>Government-United States of America-Velo</c:v>
                </c:pt>
                <c:pt idx="19">
                  <c:v>Government-United States of America-Amarilla</c:v>
                </c:pt>
                <c:pt idx="20">
                  <c:v>Government-Mexico-Amarilla</c:v>
                </c:pt>
                <c:pt idx="21">
                  <c:v>Enterprise-France-Velo</c:v>
                </c:pt>
                <c:pt idx="22">
                  <c:v>Government-France-Montana</c:v>
                </c:pt>
                <c:pt idx="23">
                  <c:v>Government-Canada-VTT</c:v>
                </c:pt>
                <c:pt idx="24">
                  <c:v>Midmarket-Mexico-Paseo</c:v>
                </c:pt>
                <c:pt idx="25">
                  <c:v>Midmarket-France-VTT</c:v>
                </c:pt>
                <c:pt idx="26">
                  <c:v>Midmarket-Mexico-Montana</c:v>
                </c:pt>
                <c:pt idx="27">
                  <c:v>Midmarket-Canada-Carretera</c:v>
                </c:pt>
                <c:pt idx="28">
                  <c:v>Channel Partners-United States of America-Amarilla</c:v>
                </c:pt>
                <c:pt idx="29">
                  <c:v>Midmarket-Germany-Paseo</c:v>
                </c:pt>
                <c:pt idx="30">
                  <c:v>Channel Partners-Canada-Carretera</c:v>
                </c:pt>
                <c:pt idx="31">
                  <c:v>Channel Partners-France-Paseo</c:v>
                </c:pt>
                <c:pt idx="32">
                  <c:v>Enterprise-Canada-Velo</c:v>
                </c:pt>
                <c:pt idx="33">
                  <c:v>Government-France-Carretera</c:v>
                </c:pt>
                <c:pt idx="34">
                  <c:v>Government-Germany-Carretera</c:v>
                </c:pt>
                <c:pt idx="35">
                  <c:v>Government-France-Amarilla</c:v>
                </c:pt>
                <c:pt idx="36">
                  <c:v>Government-Mexico-Montana</c:v>
                </c:pt>
                <c:pt idx="37">
                  <c:v>Government-Germany-Montana</c:v>
                </c:pt>
                <c:pt idx="38">
                  <c:v>Government-Mexico-Carretera</c:v>
                </c:pt>
                <c:pt idx="39">
                  <c:v>Enterprise-France-VTT</c:v>
                </c:pt>
                <c:pt idx="40">
                  <c:v>Channel Partners-Germany-VTT</c:v>
                </c:pt>
                <c:pt idx="41">
                  <c:v>Midmarket-United States of America-Amarilla</c:v>
                </c:pt>
                <c:pt idx="42">
                  <c:v>Government-United States of America-Montana</c:v>
                </c:pt>
                <c:pt idx="43">
                  <c:v>Government-Germany-VTT</c:v>
                </c:pt>
                <c:pt idx="44">
                  <c:v>Government-Mexico-VTT</c:v>
                </c:pt>
                <c:pt idx="45">
                  <c:v>Small Business-Germany-Montana</c:v>
                </c:pt>
                <c:pt idx="46">
                  <c:v>Enterprise-Canada-Carretera</c:v>
                </c:pt>
                <c:pt idx="47">
                  <c:v>Enterprise-United States of America-VTT</c:v>
                </c:pt>
                <c:pt idx="48">
                  <c:v>Enterprise-United States of America-Paseo</c:v>
                </c:pt>
                <c:pt idx="49">
                  <c:v>Midmarket-Mexico-Velo</c:v>
                </c:pt>
                <c:pt idx="50">
                  <c:v>Midmarket-France-Velo</c:v>
                </c:pt>
                <c:pt idx="51">
                  <c:v>Small Business-France-Montana</c:v>
                </c:pt>
                <c:pt idx="52">
                  <c:v>Channel Partners-United States of America-Paseo</c:v>
                </c:pt>
                <c:pt idx="53">
                  <c:v>Enterprise-United States of America-Montana</c:v>
                </c:pt>
                <c:pt idx="54">
                  <c:v>Enterprise-United States of America-Velo</c:v>
                </c:pt>
                <c:pt idx="55">
                  <c:v>Enterprise-Mexico-Paseo</c:v>
                </c:pt>
                <c:pt idx="56">
                  <c:v>Government-France-VTT</c:v>
                </c:pt>
                <c:pt idx="57">
                  <c:v>Midmarket-Mexico-Carretera</c:v>
                </c:pt>
                <c:pt idx="58">
                  <c:v>Small Business-Germany-Amarilla</c:v>
                </c:pt>
                <c:pt idx="59">
                  <c:v>Government-Canada-Carretera</c:v>
                </c:pt>
                <c:pt idx="60">
                  <c:v>Government-Germany-Amarilla</c:v>
                </c:pt>
                <c:pt idx="61">
                  <c:v>Channel Partners-France-VTT</c:v>
                </c:pt>
                <c:pt idx="62">
                  <c:v>Government-Mexico-Velo</c:v>
                </c:pt>
                <c:pt idx="63">
                  <c:v>Small Business-Canada-VTT</c:v>
                </c:pt>
                <c:pt idx="64">
                  <c:v>Small Business-Canada-Velo</c:v>
                </c:pt>
                <c:pt idx="65">
                  <c:v>Channel Partners-Mexico-Montana</c:v>
                </c:pt>
                <c:pt idx="66">
                  <c:v>Channel Partners-Canada-Amarilla</c:v>
                </c:pt>
                <c:pt idx="67">
                  <c:v>Government-Germany-Velo</c:v>
                </c:pt>
                <c:pt idx="68">
                  <c:v>Channel Partners-France-Carretera</c:v>
                </c:pt>
                <c:pt idx="69">
                  <c:v>Enterprise-United States of America-Amarilla</c:v>
                </c:pt>
                <c:pt idx="70">
                  <c:v>Small Business-Germany-Carretera</c:v>
                </c:pt>
                <c:pt idx="71">
                  <c:v>Small Business-Germany-VTT</c:v>
                </c:pt>
                <c:pt idx="72">
                  <c:v>Midmarket-Germany-VTT</c:v>
                </c:pt>
                <c:pt idx="73">
                  <c:v>Midmarket-France-Montana</c:v>
                </c:pt>
                <c:pt idx="74">
                  <c:v>Midmarket-United States of America-Carretera</c:v>
                </c:pt>
                <c:pt idx="75">
                  <c:v>Midmarket-Canada-VTT</c:v>
                </c:pt>
                <c:pt idx="76">
                  <c:v>Channel Partners-Germany-Velo</c:v>
                </c:pt>
                <c:pt idx="77">
                  <c:v>Enterprise-Germany-VTT</c:v>
                </c:pt>
                <c:pt idx="78">
                  <c:v>Channel Partners-Canada-VTT</c:v>
                </c:pt>
                <c:pt idx="79">
                  <c:v>Government-Canada-Amarilla</c:v>
                </c:pt>
                <c:pt idx="80">
                  <c:v>Midmarket-Canada-Montana</c:v>
                </c:pt>
                <c:pt idx="81">
                  <c:v>Channel Partners-Canada-Montana</c:v>
                </c:pt>
                <c:pt idx="82">
                  <c:v>Channel Partners-Mexico-Paseo</c:v>
                </c:pt>
                <c:pt idx="83">
                  <c:v>Midmarket-Mexico-Amarilla</c:v>
                </c:pt>
                <c:pt idx="84">
                  <c:v>Channel Partners-Germany-Amarilla</c:v>
                </c:pt>
                <c:pt idx="85">
                  <c:v>Midmarket-United States of America-VTT</c:v>
                </c:pt>
                <c:pt idx="86">
                  <c:v>Channel Partners-United States of America-Carretera</c:v>
                </c:pt>
                <c:pt idx="87">
                  <c:v>Channel Partners-France-Montana</c:v>
                </c:pt>
                <c:pt idx="88">
                  <c:v>Midmarket-Germany-Velo</c:v>
                </c:pt>
                <c:pt idx="89">
                  <c:v>Channel Partners-Germany-Montana</c:v>
                </c:pt>
                <c:pt idx="90">
                  <c:v>Midmarket-Canada-Amarilla</c:v>
                </c:pt>
                <c:pt idx="91">
                  <c:v>Channel Partners-United States of America-Montana</c:v>
                </c:pt>
                <c:pt idx="92">
                  <c:v>Channel Partners-Germany-Paseo</c:v>
                </c:pt>
                <c:pt idx="93">
                  <c:v>Channel Partners-France-Amarilla</c:v>
                </c:pt>
                <c:pt idx="94">
                  <c:v>Enterprise-Canada-Montana</c:v>
                </c:pt>
                <c:pt idx="95">
                  <c:v>Enterprise-United States of America-Carretera</c:v>
                </c:pt>
                <c:pt idx="96">
                  <c:v>Channel Partners-United States of America-VTT</c:v>
                </c:pt>
                <c:pt idx="97">
                  <c:v>Midmarket-France-Carretera</c:v>
                </c:pt>
                <c:pt idx="98">
                  <c:v>Channel Partners-Germany-Carretera</c:v>
                </c:pt>
                <c:pt idx="99">
                  <c:v>Channel Partners-Canada-Velo</c:v>
                </c:pt>
                <c:pt idx="100">
                  <c:v>Channel Partners-France-Velo</c:v>
                </c:pt>
                <c:pt idx="101">
                  <c:v>Channel Partners-Mexico-VTT</c:v>
                </c:pt>
                <c:pt idx="102">
                  <c:v>Midmarket-Germany-Carretera</c:v>
                </c:pt>
                <c:pt idx="103">
                  <c:v>Midmarket-France-Amarilla</c:v>
                </c:pt>
                <c:pt idx="104">
                  <c:v>Channel Partners-Mexico-Amarilla</c:v>
                </c:pt>
                <c:pt idx="105">
                  <c:v>Midmarket-Mexico-VTT</c:v>
                </c:pt>
                <c:pt idx="106">
                  <c:v>Channel Partners-Mexico-Velo</c:v>
                </c:pt>
                <c:pt idx="107">
                  <c:v>Channel Partners-United States of America-Velo</c:v>
                </c:pt>
                <c:pt idx="108">
                  <c:v>Midmarket-Germany-Montana</c:v>
                </c:pt>
                <c:pt idx="109">
                  <c:v>Midmarket-Germany-Amarilla</c:v>
                </c:pt>
                <c:pt idx="110">
                  <c:v>Midmarket-Canada-Velo</c:v>
                </c:pt>
                <c:pt idx="111">
                  <c:v>Midmarket-United States of America-Velo</c:v>
                </c:pt>
                <c:pt idx="112">
                  <c:v>Channel Partners-Mexico-Carretera</c:v>
                </c:pt>
                <c:pt idx="113">
                  <c:v>Midmarket-United States of America-Montana</c:v>
                </c:pt>
                <c:pt idx="114">
                  <c:v>Enterprise-Canada-Amarilla</c:v>
                </c:pt>
                <c:pt idx="115">
                  <c:v>Small Business-Mexico-Montana</c:v>
                </c:pt>
                <c:pt idx="116">
                  <c:v>Small Business-Germany-Velo</c:v>
                </c:pt>
                <c:pt idx="117">
                  <c:v>Enterprise-Germany-Amarilla</c:v>
                </c:pt>
                <c:pt idx="118">
                  <c:v>Small Business-United States of America-Amarilla</c:v>
                </c:pt>
                <c:pt idx="119">
                  <c:v>Enterprise-France-Montana</c:v>
                </c:pt>
                <c:pt idx="120">
                  <c:v>Enterprise-Mexico-Amarilla</c:v>
                </c:pt>
                <c:pt idx="121">
                  <c:v>Enterprise-Canada-VTT</c:v>
                </c:pt>
                <c:pt idx="122">
                  <c:v>Enterprise-France-Carretera</c:v>
                </c:pt>
                <c:pt idx="123">
                  <c:v>Small Business-Mexico-Amarilla</c:v>
                </c:pt>
                <c:pt idx="124">
                  <c:v>Enterprise-Mexico-Carretera</c:v>
                </c:pt>
                <c:pt idx="125">
                  <c:v>Small Business-Mexico-Velo</c:v>
                </c:pt>
                <c:pt idx="126">
                  <c:v>Enterprise-Germany-Montana</c:v>
                </c:pt>
                <c:pt idx="127">
                  <c:v>Enterprise-Canada-Paseo</c:v>
                </c:pt>
                <c:pt idx="128">
                  <c:v>Small Business-Canada-Amarilla</c:v>
                </c:pt>
                <c:pt idx="129">
                  <c:v>Small Business-France-VTT</c:v>
                </c:pt>
                <c:pt idx="130">
                  <c:v>Small Business-Canada-Carretera</c:v>
                </c:pt>
                <c:pt idx="131">
                  <c:v>Enterprise-Mexico-Velo</c:v>
                </c:pt>
                <c:pt idx="132">
                  <c:v>Small Business-Canada-Montana</c:v>
                </c:pt>
                <c:pt idx="133">
                  <c:v>Small Business-Germany-Paseo</c:v>
                </c:pt>
                <c:pt idx="134">
                  <c:v>Small Business-Canada-Paseo</c:v>
                </c:pt>
                <c:pt idx="135">
                  <c:v>Small Business-United States of America-VTT</c:v>
                </c:pt>
                <c:pt idx="136">
                  <c:v>Enterprise-Mexico-Montana</c:v>
                </c:pt>
                <c:pt idx="137">
                  <c:v>Small Business-Mexico-Carretera</c:v>
                </c:pt>
                <c:pt idx="138">
                  <c:v>Enterprise-Germany-Carretera</c:v>
                </c:pt>
                <c:pt idx="139">
                  <c:v>Small Business-Mexico-Paseo</c:v>
                </c:pt>
                <c:pt idx="140">
                  <c:v>Small Business-France-Amarilla</c:v>
                </c:pt>
                <c:pt idx="141">
                  <c:v>Small Business-Mexico-VTT</c:v>
                </c:pt>
                <c:pt idx="142">
                  <c:v>Small Business-France-Carretera</c:v>
                </c:pt>
                <c:pt idx="143">
                  <c:v>Small Business-United States of America-Carretera</c:v>
                </c:pt>
                <c:pt idx="144">
                  <c:v>Small Business-United States of America-Montana</c:v>
                </c:pt>
                <c:pt idx="145">
                  <c:v>Small Business-United States of America-Paseo</c:v>
                </c:pt>
                <c:pt idx="146">
                  <c:v>Small Business-United States of America-Velo</c:v>
                </c:pt>
                <c:pt idx="147">
                  <c:v>Small Business-France-Paseo</c:v>
                </c:pt>
                <c:pt idx="148">
                  <c:v>Small Business-France-Velo</c:v>
                </c:pt>
                <c:pt idx="149">
                  <c:v>Enterprise-France-Amarilla</c:v>
                </c:pt>
              </c:strCache>
            </c:strRef>
          </c:cat>
          <c:val>
            <c:numRef>
              <c:f>Sheet2!$B$4:$B$154</c:f>
              <c:numCache>
                <c:formatCode>General</c:formatCode>
                <c:ptCount val="150"/>
                <c:pt idx="0">
                  <c:v>315049.15000000002</c:v>
                </c:pt>
                <c:pt idx="1">
                  <c:v>298881.69999999995</c:v>
                </c:pt>
                <c:pt idx="2">
                  <c:v>280848.75</c:v>
                </c:pt>
                <c:pt idx="3">
                  <c:v>278281.99000000005</c:v>
                </c:pt>
                <c:pt idx="4">
                  <c:v>241130.1</c:v>
                </c:pt>
                <c:pt idx="5">
                  <c:v>229847.94</c:v>
                </c:pt>
                <c:pt idx="6">
                  <c:v>224499.18</c:v>
                </c:pt>
                <c:pt idx="7">
                  <c:v>224493.17</c:v>
                </c:pt>
                <c:pt idx="8">
                  <c:v>221537.4</c:v>
                </c:pt>
                <c:pt idx="9">
                  <c:v>198132</c:v>
                </c:pt>
                <c:pt idx="10">
                  <c:v>194933.75</c:v>
                </c:pt>
                <c:pt idx="11">
                  <c:v>194502.5</c:v>
                </c:pt>
                <c:pt idx="12">
                  <c:v>192068.27000000002</c:v>
                </c:pt>
                <c:pt idx="13">
                  <c:v>184135.53000000003</c:v>
                </c:pt>
                <c:pt idx="14">
                  <c:v>180991.25</c:v>
                </c:pt>
                <c:pt idx="15">
                  <c:v>168951.97</c:v>
                </c:pt>
                <c:pt idx="16">
                  <c:v>165020.04</c:v>
                </c:pt>
                <c:pt idx="17">
                  <c:v>159382.41</c:v>
                </c:pt>
                <c:pt idx="18">
                  <c:v>157768.65000000002</c:v>
                </c:pt>
                <c:pt idx="19">
                  <c:v>157696.47999999998</c:v>
                </c:pt>
                <c:pt idx="20">
                  <c:v>154809.09</c:v>
                </c:pt>
                <c:pt idx="21">
                  <c:v>154043.75</c:v>
                </c:pt>
                <c:pt idx="22">
                  <c:v>149689.46</c:v>
                </c:pt>
                <c:pt idx="23">
                  <c:v>149175.5</c:v>
                </c:pt>
                <c:pt idx="24">
                  <c:v>134240.4</c:v>
                </c:pt>
                <c:pt idx="25">
                  <c:v>129816.45000000001</c:v>
                </c:pt>
                <c:pt idx="26">
                  <c:v>127970.24999999999</c:v>
                </c:pt>
                <c:pt idx="27">
                  <c:v>126091.20000000001</c:v>
                </c:pt>
                <c:pt idx="28">
                  <c:v>123624.6</c:v>
                </c:pt>
                <c:pt idx="29">
                  <c:v>112689.45</c:v>
                </c:pt>
                <c:pt idx="30">
                  <c:v>110610.24000000001</c:v>
                </c:pt>
                <c:pt idx="31">
                  <c:v>108600.77999999998</c:v>
                </c:pt>
                <c:pt idx="32">
                  <c:v>107621.25</c:v>
                </c:pt>
                <c:pt idx="33">
                  <c:v>105328.65</c:v>
                </c:pt>
                <c:pt idx="34">
                  <c:v>104671.40000000001</c:v>
                </c:pt>
                <c:pt idx="35">
                  <c:v>104399.5</c:v>
                </c:pt>
                <c:pt idx="36">
                  <c:v>102864.34</c:v>
                </c:pt>
                <c:pt idx="37">
                  <c:v>101149.76999999999</c:v>
                </c:pt>
                <c:pt idx="38">
                  <c:v>98648.35</c:v>
                </c:pt>
                <c:pt idx="39">
                  <c:v>97391.25</c:v>
                </c:pt>
                <c:pt idx="40">
                  <c:v>97240.56</c:v>
                </c:pt>
                <c:pt idx="41">
                  <c:v>95234.33</c:v>
                </c:pt>
                <c:pt idx="42">
                  <c:v>94889.54</c:v>
                </c:pt>
                <c:pt idx="43">
                  <c:v>91446.709999999992</c:v>
                </c:pt>
                <c:pt idx="44">
                  <c:v>91346.719999999987</c:v>
                </c:pt>
                <c:pt idx="45">
                  <c:v>91182</c:v>
                </c:pt>
                <c:pt idx="46">
                  <c:v>90956.25</c:v>
                </c:pt>
                <c:pt idx="47">
                  <c:v>89966.25</c:v>
                </c:pt>
                <c:pt idx="48">
                  <c:v>89966.25</c:v>
                </c:pt>
                <c:pt idx="49">
                  <c:v>88729.95</c:v>
                </c:pt>
                <c:pt idx="50">
                  <c:v>88198.88</c:v>
                </c:pt>
                <c:pt idx="51">
                  <c:v>87906</c:v>
                </c:pt>
                <c:pt idx="52">
                  <c:v>83878.98</c:v>
                </c:pt>
                <c:pt idx="53">
                  <c:v>82046.25</c:v>
                </c:pt>
                <c:pt idx="54">
                  <c:v>82046.25</c:v>
                </c:pt>
                <c:pt idx="55">
                  <c:v>81095</c:v>
                </c:pt>
                <c:pt idx="56">
                  <c:v>79516.509999999995</c:v>
                </c:pt>
                <c:pt idx="57">
                  <c:v>76821.75</c:v>
                </c:pt>
                <c:pt idx="58">
                  <c:v>76146</c:v>
                </c:pt>
                <c:pt idx="59">
                  <c:v>72867.149999999994</c:v>
                </c:pt>
                <c:pt idx="60">
                  <c:v>72611.75</c:v>
                </c:pt>
                <c:pt idx="61">
                  <c:v>72292.37999999999</c:v>
                </c:pt>
                <c:pt idx="62">
                  <c:v>69505.440000000002</c:v>
                </c:pt>
                <c:pt idx="63">
                  <c:v>69402</c:v>
                </c:pt>
                <c:pt idx="64">
                  <c:v>69402</c:v>
                </c:pt>
                <c:pt idx="65">
                  <c:v>68634.720000000001</c:v>
                </c:pt>
                <c:pt idx="66">
                  <c:v>67177.56</c:v>
                </c:pt>
                <c:pt idx="67">
                  <c:v>65939.820000000007</c:v>
                </c:pt>
                <c:pt idx="68">
                  <c:v>65787.12</c:v>
                </c:pt>
                <c:pt idx="69">
                  <c:v>65137.5</c:v>
                </c:pt>
                <c:pt idx="70">
                  <c:v>62916</c:v>
                </c:pt>
                <c:pt idx="71">
                  <c:v>62916</c:v>
                </c:pt>
                <c:pt idx="72">
                  <c:v>62874</c:v>
                </c:pt>
                <c:pt idx="73">
                  <c:v>62485.8</c:v>
                </c:pt>
                <c:pt idx="74">
                  <c:v>62122.35</c:v>
                </c:pt>
                <c:pt idx="75">
                  <c:v>60523.65</c:v>
                </c:pt>
                <c:pt idx="76">
                  <c:v>60088.68</c:v>
                </c:pt>
                <c:pt idx="77">
                  <c:v>58650</c:v>
                </c:pt>
                <c:pt idx="78">
                  <c:v>58479.66</c:v>
                </c:pt>
                <c:pt idx="79">
                  <c:v>58052.290000000008</c:v>
                </c:pt>
                <c:pt idx="80">
                  <c:v>57994.8</c:v>
                </c:pt>
                <c:pt idx="81">
                  <c:v>55561.32</c:v>
                </c:pt>
                <c:pt idx="82">
                  <c:v>53551.799999999996</c:v>
                </c:pt>
                <c:pt idx="83">
                  <c:v>52918.95</c:v>
                </c:pt>
                <c:pt idx="84">
                  <c:v>51318.960000000006</c:v>
                </c:pt>
                <c:pt idx="85">
                  <c:v>49756.649999999994</c:v>
                </c:pt>
                <c:pt idx="86">
                  <c:v>48904.920000000006</c:v>
                </c:pt>
                <c:pt idx="87">
                  <c:v>48264.36</c:v>
                </c:pt>
                <c:pt idx="88">
                  <c:v>46264.5</c:v>
                </c:pt>
                <c:pt idx="89">
                  <c:v>45238.8</c:v>
                </c:pt>
                <c:pt idx="90">
                  <c:v>44741.03</c:v>
                </c:pt>
                <c:pt idx="91">
                  <c:v>44145.36</c:v>
                </c:pt>
                <c:pt idx="92">
                  <c:v>43462.8</c:v>
                </c:pt>
                <c:pt idx="93">
                  <c:v>43259.28</c:v>
                </c:pt>
                <c:pt idx="94">
                  <c:v>43125</c:v>
                </c:pt>
                <c:pt idx="95">
                  <c:v>40837.5</c:v>
                </c:pt>
                <c:pt idx="96">
                  <c:v>39780.720000000001</c:v>
                </c:pt>
                <c:pt idx="97">
                  <c:v>39432</c:v>
                </c:pt>
                <c:pt idx="98">
                  <c:v>39076.080000000002</c:v>
                </c:pt>
                <c:pt idx="99">
                  <c:v>34315.32</c:v>
                </c:pt>
                <c:pt idx="100">
                  <c:v>33886.44</c:v>
                </c:pt>
                <c:pt idx="101">
                  <c:v>33035.64</c:v>
                </c:pt>
                <c:pt idx="102">
                  <c:v>32837.699999999997</c:v>
                </c:pt>
                <c:pt idx="103">
                  <c:v>32738.85</c:v>
                </c:pt>
                <c:pt idx="104">
                  <c:v>32262.6</c:v>
                </c:pt>
                <c:pt idx="105">
                  <c:v>30455.1</c:v>
                </c:pt>
                <c:pt idx="106">
                  <c:v>28434</c:v>
                </c:pt>
                <c:pt idx="107">
                  <c:v>26199.599999999999</c:v>
                </c:pt>
                <c:pt idx="108">
                  <c:v>23626.799999999999</c:v>
                </c:pt>
                <c:pt idx="109">
                  <c:v>23052.3</c:v>
                </c:pt>
                <c:pt idx="110">
                  <c:v>22731.300000000003</c:v>
                </c:pt>
                <c:pt idx="111">
                  <c:v>18573.75</c:v>
                </c:pt>
                <c:pt idx="112">
                  <c:v>18460.32</c:v>
                </c:pt>
                <c:pt idx="113">
                  <c:v>18161.400000000001</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numCache>
            </c:numRef>
          </c:val>
          <c:extLst>
            <c:ext xmlns:c16="http://schemas.microsoft.com/office/drawing/2014/chart" uri="{C3380CC4-5D6E-409C-BE32-E72D297353CC}">
              <c16:uniqueId val="{00000000-5A5D-4420-BD31-6D95EC8AC590}"/>
            </c:ext>
          </c:extLst>
        </c:ser>
        <c:dLbls>
          <c:showLegendKey val="0"/>
          <c:showVal val="0"/>
          <c:showCatName val="0"/>
          <c:showSerName val="0"/>
          <c:showPercent val="0"/>
          <c:showBubbleSize val="0"/>
        </c:dLbls>
        <c:gapWidth val="219"/>
        <c:overlap val="-27"/>
        <c:axId val="1711778656"/>
        <c:axId val="1754843888"/>
      </c:barChart>
      <c:catAx>
        <c:axId val="171177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843888"/>
        <c:crosses val="autoZero"/>
        <c:auto val="1"/>
        <c:lblAlgn val="ctr"/>
        <c:lblOffset val="100"/>
        <c:noMultiLvlLbl val="0"/>
      </c:catAx>
      <c:valAx>
        <c:axId val="175484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77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spPr>
            <a:solidFill>
              <a:schemeClr val="accent1">
                <a:alpha val="75000"/>
              </a:schemeClr>
            </a:solidFill>
            <a:ln>
              <a:noFill/>
            </a:ln>
            <a:effectLst/>
          </c:spPr>
          <c:invertIfNegative val="0"/>
          <c:xVal>
            <c:strRef>
              <c:f>Sheet1!$A$4:$A$703</c:f>
              <c:strCache>
                <c:ptCount val="700"/>
                <c:pt idx="0">
                  <c:v>Government-Canada-Carretera</c:v>
                </c:pt>
                <c:pt idx="1">
                  <c:v>Government-Germany-Carretera</c:v>
                </c:pt>
                <c:pt idx="2">
                  <c:v>Midmarket-France-Carretera</c:v>
                </c:pt>
                <c:pt idx="3">
                  <c:v>Midmarket-Germany-Carretera</c:v>
                </c:pt>
                <c:pt idx="4">
                  <c:v>Midmarket-Mexico-Carretera</c:v>
                </c:pt>
                <c:pt idx="5">
                  <c:v>Government-Germany-Carretera</c:v>
                </c:pt>
                <c:pt idx="6">
                  <c:v>Midmarket-Germany-Montana</c:v>
                </c:pt>
                <c:pt idx="7">
                  <c:v>Channel Partners-Canada-Montana</c:v>
                </c:pt>
                <c:pt idx="8">
                  <c:v>Government-France-Montana</c:v>
                </c:pt>
                <c:pt idx="9">
                  <c:v>Channel Partners-Germany-Montana</c:v>
                </c:pt>
                <c:pt idx="10">
                  <c:v>Midmarket-Mexico-Montana</c:v>
                </c:pt>
                <c:pt idx="11">
                  <c:v>Enterprise-Canada-Montana</c:v>
                </c:pt>
                <c:pt idx="12">
                  <c:v>Small Business-Mexico-Montana</c:v>
                </c:pt>
                <c:pt idx="13">
                  <c:v>Government-Germany-Montana</c:v>
                </c:pt>
                <c:pt idx="14">
                  <c:v>Enterprise-Canada-Montana</c:v>
                </c:pt>
                <c:pt idx="15">
                  <c:v>Midmarket-United States of America-Montana</c:v>
                </c:pt>
                <c:pt idx="16">
                  <c:v>Government-Canada-Paseo</c:v>
                </c:pt>
                <c:pt idx="17">
                  <c:v>Midmarket-Mexico-Paseo</c:v>
                </c:pt>
                <c:pt idx="18">
                  <c:v>Channel Partners-Canada-Paseo</c:v>
                </c:pt>
                <c:pt idx="19">
                  <c:v>Government-Germany-Paseo</c:v>
                </c:pt>
                <c:pt idx="20">
                  <c:v>Channel Partners-Germany-Paseo</c:v>
                </c:pt>
                <c:pt idx="21">
                  <c:v>Government-Mexico-Paseo</c:v>
                </c:pt>
                <c:pt idx="22">
                  <c:v>Midmarket-France-Paseo</c:v>
                </c:pt>
                <c:pt idx="23">
                  <c:v>Small Business-Mexico-Paseo</c:v>
                </c:pt>
                <c:pt idx="24">
                  <c:v>Midmarket-Mexico-Paseo</c:v>
                </c:pt>
                <c:pt idx="25">
                  <c:v>Government-United States of America-Paseo</c:v>
                </c:pt>
                <c:pt idx="26">
                  <c:v>Government-Canada-Paseo</c:v>
                </c:pt>
                <c:pt idx="27">
                  <c:v>Channel Partners-United States of America-Paseo</c:v>
                </c:pt>
                <c:pt idx="28">
                  <c:v>Midmarket-Canada-Paseo</c:v>
                </c:pt>
                <c:pt idx="29">
                  <c:v>Government-Canada-Paseo</c:v>
                </c:pt>
                <c:pt idx="30">
                  <c:v>Government-Germany-Paseo</c:v>
                </c:pt>
                <c:pt idx="31">
                  <c:v>Government-Mexico-Velo</c:v>
                </c:pt>
                <c:pt idx="32">
                  <c:v>Enterprise-France-Velo</c:v>
                </c:pt>
                <c:pt idx="33">
                  <c:v>Channel Partners-Germany-Velo</c:v>
                </c:pt>
                <c:pt idx="34">
                  <c:v>Government-Germany-Velo</c:v>
                </c:pt>
                <c:pt idx="35">
                  <c:v>Channel Partners-Germany-Velo</c:v>
                </c:pt>
                <c:pt idx="36">
                  <c:v>Enterprise-United States of America-Velo</c:v>
                </c:pt>
                <c:pt idx="37">
                  <c:v>Enterprise-Canada-Velo</c:v>
                </c:pt>
                <c:pt idx="38">
                  <c:v>Small Business-Canada-VTT</c:v>
                </c:pt>
                <c:pt idx="39">
                  <c:v>Channel Partners-Germany-VTT</c:v>
                </c:pt>
                <c:pt idx="40">
                  <c:v>Midmarket-France-VTT</c:v>
                </c:pt>
                <c:pt idx="41">
                  <c:v>Midmarket-Germany-VTT</c:v>
                </c:pt>
                <c:pt idx="42">
                  <c:v>Government-France-VTT</c:v>
                </c:pt>
                <c:pt idx="43">
                  <c:v>Small Business-France-VTT</c:v>
                </c:pt>
                <c:pt idx="44">
                  <c:v>Government-Canada-VTT</c:v>
                </c:pt>
                <c:pt idx="45">
                  <c:v>Government-France-Amarilla</c:v>
                </c:pt>
                <c:pt idx="46">
                  <c:v>Channel Partners-United States of America-Amarilla</c:v>
                </c:pt>
                <c:pt idx="47">
                  <c:v>Enterprise-Germany-Amarilla</c:v>
                </c:pt>
                <c:pt idx="48">
                  <c:v>Government-France-Amarilla</c:v>
                </c:pt>
                <c:pt idx="49">
                  <c:v>Government-Germany-Amarilla</c:v>
                </c:pt>
                <c:pt idx="50">
                  <c:v>Channel Partners-United States of America-Amarilla</c:v>
                </c:pt>
                <c:pt idx="51">
                  <c:v>Government-United States of America-Amarilla</c:v>
                </c:pt>
                <c:pt idx="52">
                  <c:v>Midmarket-United States of America-Amarilla</c:v>
                </c:pt>
                <c:pt idx="53">
                  <c:v>Government-France-Paseo</c:v>
                </c:pt>
                <c:pt idx="54">
                  <c:v>Midmarket-France-Paseo</c:v>
                </c:pt>
                <c:pt idx="55">
                  <c:v>Government-France-Paseo</c:v>
                </c:pt>
                <c:pt idx="56">
                  <c:v>Government-France-Velo</c:v>
                </c:pt>
                <c:pt idx="57">
                  <c:v>Government-Canada-VTT</c:v>
                </c:pt>
                <c:pt idx="58">
                  <c:v>Channel Partners-United States of America-Carretera</c:v>
                </c:pt>
                <c:pt idx="59">
                  <c:v>Government-Mexico-Carretera</c:v>
                </c:pt>
                <c:pt idx="60">
                  <c:v>Government-United States of America-Carretera</c:v>
                </c:pt>
                <c:pt idx="61">
                  <c:v>Channel Partners-Canada-Carretera</c:v>
                </c:pt>
                <c:pt idx="62">
                  <c:v>Enterprise-United States of America-Carretera</c:v>
                </c:pt>
                <c:pt idx="63">
                  <c:v>Channel Partners-France-Carretera</c:v>
                </c:pt>
                <c:pt idx="64">
                  <c:v>Channel Partners-Germany-Carretera</c:v>
                </c:pt>
                <c:pt idx="65">
                  <c:v>Small Business-Mexico-Carretera</c:v>
                </c:pt>
                <c:pt idx="66">
                  <c:v>Government-Mexico-Carretera</c:v>
                </c:pt>
                <c:pt idx="67">
                  <c:v>Government-France-Carretera</c:v>
                </c:pt>
                <c:pt idx="68">
                  <c:v>Midmarket-Mexico-Montana</c:v>
                </c:pt>
                <c:pt idx="69">
                  <c:v>Small Business-United States of America-Montana</c:v>
                </c:pt>
                <c:pt idx="70">
                  <c:v>Government-France-Montana</c:v>
                </c:pt>
                <c:pt idx="71">
                  <c:v>Government-Canada-Montana</c:v>
                </c:pt>
                <c:pt idx="72">
                  <c:v>Small Business-United States of America-Montana</c:v>
                </c:pt>
                <c:pt idx="73">
                  <c:v>Enterprise-United States of America-Montana</c:v>
                </c:pt>
                <c:pt idx="74">
                  <c:v>Midmarket-United States of America-Paseo</c:v>
                </c:pt>
                <c:pt idx="75">
                  <c:v>Government-United States of America-Paseo</c:v>
                </c:pt>
                <c:pt idx="76">
                  <c:v>Enterprise-United States of America-Paseo</c:v>
                </c:pt>
                <c:pt idx="77">
                  <c:v>Enterprise-France-Paseo</c:v>
                </c:pt>
                <c:pt idx="78">
                  <c:v>Enterprise-Mexico-Paseo</c:v>
                </c:pt>
                <c:pt idx="79">
                  <c:v>Midmarket-Germany-Paseo</c:v>
                </c:pt>
                <c:pt idx="80">
                  <c:v>Channel Partners-Germany-Paseo</c:v>
                </c:pt>
                <c:pt idx="81">
                  <c:v>Small Business-United States of America-Paseo</c:v>
                </c:pt>
                <c:pt idx="82">
                  <c:v>Government-France-Paseo</c:v>
                </c:pt>
                <c:pt idx="83">
                  <c:v>Government-France-Velo</c:v>
                </c:pt>
                <c:pt idx="84">
                  <c:v>Government-Mexico-Velo</c:v>
                </c:pt>
                <c:pt idx="85">
                  <c:v>Enterprise-Canada-Velo</c:v>
                </c:pt>
                <c:pt idx="86">
                  <c:v>Enterprise-United States of America-Velo</c:v>
                </c:pt>
                <c:pt idx="87">
                  <c:v>Government-Canada-Velo</c:v>
                </c:pt>
                <c:pt idx="88">
                  <c:v>Government-Germany-VTT</c:v>
                </c:pt>
                <c:pt idx="89">
                  <c:v>Government-Canada-VTT</c:v>
                </c:pt>
                <c:pt idx="90">
                  <c:v>Enterprise-United States of America-VTT</c:v>
                </c:pt>
                <c:pt idx="91">
                  <c:v>Enterprise-France-VTT</c:v>
                </c:pt>
                <c:pt idx="92">
                  <c:v>Small Business-Germany-VTT</c:v>
                </c:pt>
                <c:pt idx="93">
                  <c:v>Small Business-Mexico-VTT</c:v>
                </c:pt>
                <c:pt idx="94">
                  <c:v>Government-Mexico-VTT</c:v>
                </c:pt>
                <c:pt idx="95">
                  <c:v>Enterprise-France-VTT</c:v>
                </c:pt>
                <c:pt idx="96">
                  <c:v>Channel Partners-United States of America-Amarilla</c:v>
                </c:pt>
                <c:pt idx="97">
                  <c:v>Midmarket-France-Amarilla</c:v>
                </c:pt>
                <c:pt idx="98">
                  <c:v>Enterprise-Canada-Carretera</c:v>
                </c:pt>
                <c:pt idx="99">
                  <c:v>Channel Partners-Canada-Carretera</c:v>
                </c:pt>
                <c:pt idx="100">
                  <c:v>Small Business-Germany-Carretera</c:v>
                </c:pt>
                <c:pt idx="101">
                  <c:v>Government-France-Carretera</c:v>
                </c:pt>
                <c:pt idx="102">
                  <c:v>Government-Canada-Carretera</c:v>
                </c:pt>
                <c:pt idx="103">
                  <c:v>Channel Partners-United States of America-Montana</c:v>
                </c:pt>
                <c:pt idx="104">
                  <c:v>Government-United States of America-Montana</c:v>
                </c:pt>
                <c:pt idx="105">
                  <c:v>Channel Partners-Mexico-Montana</c:v>
                </c:pt>
                <c:pt idx="106">
                  <c:v>Enterprise-Mexico-Montana</c:v>
                </c:pt>
                <c:pt idx="107">
                  <c:v>Midmarket-Canada-Paseo</c:v>
                </c:pt>
                <c:pt idx="108">
                  <c:v>Small Business-France-Paseo</c:v>
                </c:pt>
                <c:pt idx="109">
                  <c:v>Small Business-Germany-Paseo</c:v>
                </c:pt>
                <c:pt idx="110">
                  <c:v>Channel Partners-United States of America-Paseo</c:v>
                </c:pt>
                <c:pt idx="111">
                  <c:v>Enterprise-Mexico-Paseo</c:v>
                </c:pt>
                <c:pt idx="112">
                  <c:v>Channel Partners-Canada-Paseo</c:v>
                </c:pt>
                <c:pt idx="113">
                  <c:v>Enterprise-Germany-Paseo</c:v>
                </c:pt>
                <c:pt idx="114">
                  <c:v>Enterprise-Mexico-Paseo</c:v>
                </c:pt>
                <c:pt idx="115">
                  <c:v>Channel Partners-France-Paseo</c:v>
                </c:pt>
                <c:pt idx="116">
                  <c:v>Small Business-Canada-Paseo</c:v>
                </c:pt>
                <c:pt idx="117">
                  <c:v>Government-Canada-Paseo</c:v>
                </c:pt>
                <c:pt idx="118">
                  <c:v>Enterprise-Canada-Paseo</c:v>
                </c:pt>
                <c:pt idx="119">
                  <c:v>Midmarket-United States of America-Paseo</c:v>
                </c:pt>
                <c:pt idx="120">
                  <c:v>Government-United States of America-Paseo</c:v>
                </c:pt>
                <c:pt idx="121">
                  <c:v>Channel Partners-France-Paseo</c:v>
                </c:pt>
                <c:pt idx="122">
                  <c:v>Channel Partners-Mexico-Paseo</c:v>
                </c:pt>
                <c:pt idx="123">
                  <c:v>Government-United States of America-Velo</c:v>
                </c:pt>
                <c:pt idx="124">
                  <c:v>Government-Germany-Velo</c:v>
                </c:pt>
                <c:pt idx="125">
                  <c:v>Government-Germany-Velo</c:v>
                </c:pt>
                <c:pt idx="126">
                  <c:v>Enterprise-Germany-Velo</c:v>
                </c:pt>
                <c:pt idx="127">
                  <c:v>Enterprise-Mexico-Velo</c:v>
                </c:pt>
                <c:pt idx="128">
                  <c:v>Channel Partners-France-Velo</c:v>
                </c:pt>
                <c:pt idx="129">
                  <c:v>Government-Mexico-Velo</c:v>
                </c:pt>
                <c:pt idx="130">
                  <c:v>Channel Partners-Mexico-Velo</c:v>
                </c:pt>
                <c:pt idx="131">
                  <c:v>Enterprise-Mexico-VTT</c:v>
                </c:pt>
                <c:pt idx="132">
                  <c:v>Small Business-Germany-VTT</c:v>
                </c:pt>
                <c:pt idx="133">
                  <c:v>Government-Germany-VTT</c:v>
                </c:pt>
                <c:pt idx="134">
                  <c:v>Enterprise-Canada-VTT</c:v>
                </c:pt>
                <c:pt idx="135">
                  <c:v>Government-United States of America-VTT</c:v>
                </c:pt>
                <c:pt idx="136">
                  <c:v>Government-Mexico-VTT</c:v>
                </c:pt>
                <c:pt idx="137">
                  <c:v>Small Business-Germany-Amarilla</c:v>
                </c:pt>
                <c:pt idx="138">
                  <c:v>Small Business-Mexico-Amarilla</c:v>
                </c:pt>
                <c:pt idx="139">
                  <c:v>Enterprise-Germany-Amarilla</c:v>
                </c:pt>
                <c:pt idx="140">
                  <c:v>Government-Germany-Amarilla</c:v>
                </c:pt>
                <c:pt idx="141">
                  <c:v>Government-United States of America-Amarilla</c:v>
                </c:pt>
                <c:pt idx="142">
                  <c:v>Government-France-Amarilla</c:v>
                </c:pt>
                <c:pt idx="143">
                  <c:v>Small Business-Canada-Amarilla</c:v>
                </c:pt>
                <c:pt idx="144">
                  <c:v>Enterprise-France-Carretera</c:v>
                </c:pt>
                <c:pt idx="145">
                  <c:v>Government-Germany-Carretera</c:v>
                </c:pt>
                <c:pt idx="146">
                  <c:v>Small Business-Germany-Carretera</c:v>
                </c:pt>
                <c:pt idx="147">
                  <c:v>Channel Partners-United States of America-Carretera</c:v>
                </c:pt>
                <c:pt idx="148">
                  <c:v>Channel Partners-Canada-Carretera</c:v>
                </c:pt>
                <c:pt idx="149">
                  <c:v>Government-Germany-Montana</c:v>
                </c:pt>
                <c:pt idx="150">
                  <c:v>Channel Partners-France-Montana</c:v>
                </c:pt>
                <c:pt idx="151">
                  <c:v>Government-France-Montana</c:v>
                </c:pt>
                <c:pt idx="152">
                  <c:v>Government-Germany-Montana</c:v>
                </c:pt>
                <c:pt idx="153">
                  <c:v>Enterprise-France-Montana</c:v>
                </c:pt>
                <c:pt idx="154">
                  <c:v>Enterprise-Germany-Montana</c:v>
                </c:pt>
                <c:pt idx="155">
                  <c:v>Small Business-France-Paseo</c:v>
                </c:pt>
                <c:pt idx="156">
                  <c:v>Enterprise-Canada-Paseo</c:v>
                </c:pt>
                <c:pt idx="157">
                  <c:v>Channel Partners-France-Paseo</c:v>
                </c:pt>
                <c:pt idx="158">
                  <c:v>Small Business-Germany-Paseo</c:v>
                </c:pt>
                <c:pt idx="159">
                  <c:v>Enterprise-Germany-Paseo</c:v>
                </c:pt>
                <c:pt idx="160">
                  <c:v>Channel Partners-United States of America-Paseo</c:v>
                </c:pt>
                <c:pt idx="161">
                  <c:v>Enterprise-Canada-Paseo</c:v>
                </c:pt>
                <c:pt idx="162">
                  <c:v>Midmarket-Germany-Paseo</c:v>
                </c:pt>
                <c:pt idx="163">
                  <c:v>Enterprise-France-Paseo</c:v>
                </c:pt>
                <c:pt idx="164">
                  <c:v>Enterprise-Germany-Paseo</c:v>
                </c:pt>
                <c:pt idx="165">
                  <c:v>Enterprise-Canada-Velo</c:v>
                </c:pt>
                <c:pt idx="166">
                  <c:v>Small Business-United States of America-VTT</c:v>
                </c:pt>
                <c:pt idx="167">
                  <c:v>Channel Partners-Mexico-VTT</c:v>
                </c:pt>
                <c:pt idx="168">
                  <c:v>Enterprise-Germany-VTT</c:v>
                </c:pt>
                <c:pt idx="169">
                  <c:v>Small Business-Canada-VTT</c:v>
                </c:pt>
                <c:pt idx="170">
                  <c:v>Government-Mexico-VTT</c:v>
                </c:pt>
                <c:pt idx="171">
                  <c:v>Midmarket-Germany-VTT</c:v>
                </c:pt>
                <c:pt idx="172">
                  <c:v>Government-Canada-Carretera</c:v>
                </c:pt>
                <c:pt idx="173">
                  <c:v>Government-Mexico-Paseo</c:v>
                </c:pt>
                <c:pt idx="174">
                  <c:v>Government-Canada-Velo</c:v>
                </c:pt>
                <c:pt idx="175">
                  <c:v>Channel Partners-Germany-VTT</c:v>
                </c:pt>
                <c:pt idx="176">
                  <c:v>Midmarket-Mexico-Montana</c:v>
                </c:pt>
                <c:pt idx="177">
                  <c:v>Midmarket-Mexico-Paseo</c:v>
                </c:pt>
                <c:pt idx="178">
                  <c:v>Midmarket-France-Paseo</c:v>
                </c:pt>
                <c:pt idx="179">
                  <c:v>Government-United States of America-Velo</c:v>
                </c:pt>
                <c:pt idx="180">
                  <c:v>Government-Canada-Carretera</c:v>
                </c:pt>
                <c:pt idx="181">
                  <c:v>Small Business-Germany-Carretera</c:v>
                </c:pt>
                <c:pt idx="182">
                  <c:v>Government-United States of America-Carretera</c:v>
                </c:pt>
                <c:pt idx="183">
                  <c:v>Midmarket-Canada-Montana</c:v>
                </c:pt>
                <c:pt idx="184">
                  <c:v>Small Business-Germany-Montana</c:v>
                </c:pt>
                <c:pt idx="185">
                  <c:v>Government-Canada-Montana</c:v>
                </c:pt>
                <c:pt idx="186">
                  <c:v>Small Business-Germany-Montana</c:v>
                </c:pt>
                <c:pt idx="187">
                  <c:v>Enterprise-Mexico-Montana</c:v>
                </c:pt>
                <c:pt idx="188">
                  <c:v>Government-Canada-Paseo</c:v>
                </c:pt>
                <c:pt idx="189">
                  <c:v>Enterprise-Germany-Paseo</c:v>
                </c:pt>
                <c:pt idx="190">
                  <c:v>Small Business-Germany-Paseo</c:v>
                </c:pt>
                <c:pt idx="191">
                  <c:v>Small Business-United States of America-Paseo</c:v>
                </c:pt>
                <c:pt idx="192">
                  <c:v>Government-United States of America-Paseo</c:v>
                </c:pt>
                <c:pt idx="193">
                  <c:v>Enterprise-France-Paseo</c:v>
                </c:pt>
                <c:pt idx="194">
                  <c:v>Midmarket-Canada-Paseo</c:v>
                </c:pt>
                <c:pt idx="195">
                  <c:v>Government-Canada-Paseo</c:v>
                </c:pt>
                <c:pt idx="196">
                  <c:v>Government-United States of America-Paseo</c:v>
                </c:pt>
                <c:pt idx="197">
                  <c:v>Midmarket-United States of America-Paseo</c:v>
                </c:pt>
                <c:pt idx="198">
                  <c:v>Midmarket-Mexico-Paseo</c:v>
                </c:pt>
                <c:pt idx="199">
                  <c:v>Government-United States of America-Paseo</c:v>
                </c:pt>
                <c:pt idx="200">
                  <c:v>Enterprise-Mexico-Paseo</c:v>
                </c:pt>
                <c:pt idx="201">
                  <c:v>Channel Partners-United States of America-Velo</c:v>
                </c:pt>
                <c:pt idx="202">
                  <c:v>Government-Canada-Velo</c:v>
                </c:pt>
                <c:pt idx="203">
                  <c:v>Government-France-Velo</c:v>
                </c:pt>
                <c:pt idx="204">
                  <c:v>Channel Partners-France-VTT</c:v>
                </c:pt>
                <c:pt idx="205">
                  <c:v>Government-United States of America-VTT</c:v>
                </c:pt>
                <c:pt idx="206">
                  <c:v>Government-France-VTT</c:v>
                </c:pt>
                <c:pt idx="207">
                  <c:v>Midmarket-Mexico-VTT</c:v>
                </c:pt>
                <c:pt idx="208">
                  <c:v>Government-Mexico-Amarilla</c:v>
                </c:pt>
                <c:pt idx="209">
                  <c:v>Enterprise-Mexico-Amarilla</c:v>
                </c:pt>
                <c:pt idx="210">
                  <c:v>Government-Germany-Amarilla</c:v>
                </c:pt>
                <c:pt idx="211">
                  <c:v>Midmarket-United States of America-Amarilla</c:v>
                </c:pt>
                <c:pt idx="212">
                  <c:v>Government-Canada-Amarilla</c:v>
                </c:pt>
                <c:pt idx="213">
                  <c:v>Government-Germany-Montana</c:v>
                </c:pt>
                <c:pt idx="214">
                  <c:v>Government-Germany-Paseo</c:v>
                </c:pt>
                <c:pt idx="215">
                  <c:v>Government-Canada-Paseo</c:v>
                </c:pt>
                <c:pt idx="216">
                  <c:v>Government-Mexico-Paseo</c:v>
                </c:pt>
                <c:pt idx="217">
                  <c:v>Channel Partners-Canada-Paseo</c:v>
                </c:pt>
                <c:pt idx="218">
                  <c:v>Channel Partners-Canada-Velo</c:v>
                </c:pt>
                <c:pt idx="219">
                  <c:v>Government-Mexico-VTT</c:v>
                </c:pt>
                <c:pt idx="220">
                  <c:v>Government-Mexico-Amarilla</c:v>
                </c:pt>
                <c:pt idx="221">
                  <c:v>Channel Partners-Mexico-Amarilla</c:v>
                </c:pt>
                <c:pt idx="222">
                  <c:v>Government-Germany-Amarilla</c:v>
                </c:pt>
                <c:pt idx="223">
                  <c:v>Channel Partners-France-Carretera</c:v>
                </c:pt>
                <c:pt idx="224">
                  <c:v>Channel Partners-Germany-Carretera</c:v>
                </c:pt>
                <c:pt idx="225">
                  <c:v>Government-France-Carretera</c:v>
                </c:pt>
                <c:pt idx="226">
                  <c:v>Small Business-United States of America-Carretera</c:v>
                </c:pt>
                <c:pt idx="227">
                  <c:v>Government-Germany-Carretera</c:v>
                </c:pt>
                <c:pt idx="228">
                  <c:v>Midmarket-Mexico-Carretera</c:v>
                </c:pt>
                <c:pt idx="229">
                  <c:v>Government-United States of America-Carretera</c:v>
                </c:pt>
                <c:pt idx="230">
                  <c:v>Government-France-Carretera</c:v>
                </c:pt>
                <c:pt idx="231">
                  <c:v>Government-France-Montana</c:v>
                </c:pt>
                <c:pt idx="232">
                  <c:v>Enterprise-United States of America-Montana</c:v>
                </c:pt>
                <c:pt idx="233">
                  <c:v>Government-Mexico-Montana</c:v>
                </c:pt>
                <c:pt idx="234">
                  <c:v>Channel Partners-Germany-Montana</c:v>
                </c:pt>
                <c:pt idx="235">
                  <c:v>Small Business-Mexico-Montana</c:v>
                </c:pt>
                <c:pt idx="236">
                  <c:v>Government-France-Paseo</c:v>
                </c:pt>
                <c:pt idx="237">
                  <c:v>Enterprise-United States of America-Paseo</c:v>
                </c:pt>
                <c:pt idx="238">
                  <c:v>Enterprise-France-Paseo</c:v>
                </c:pt>
                <c:pt idx="239">
                  <c:v>Small Business-Mexico-Paseo</c:v>
                </c:pt>
                <c:pt idx="240">
                  <c:v>Government-United States of America-Paseo</c:v>
                </c:pt>
                <c:pt idx="241">
                  <c:v>Small Business-United States of America-Paseo</c:v>
                </c:pt>
                <c:pt idx="242">
                  <c:v>Government-United States of America-Paseo</c:v>
                </c:pt>
                <c:pt idx="243">
                  <c:v>Midmarket-France-Paseo</c:v>
                </c:pt>
                <c:pt idx="244">
                  <c:v>Government-Canada-Paseo</c:v>
                </c:pt>
                <c:pt idx="245">
                  <c:v>Government-Canada-Paseo</c:v>
                </c:pt>
                <c:pt idx="246">
                  <c:v>Enterprise-United States of America-Paseo</c:v>
                </c:pt>
                <c:pt idx="247">
                  <c:v>Enterprise-France-Paseo</c:v>
                </c:pt>
                <c:pt idx="248">
                  <c:v>Government-Canada-Paseo</c:v>
                </c:pt>
                <c:pt idx="249">
                  <c:v>Government-United States of America-Paseo</c:v>
                </c:pt>
                <c:pt idx="250">
                  <c:v>Government-France-Paseo</c:v>
                </c:pt>
                <c:pt idx="251">
                  <c:v>Midmarket-Germany-Paseo</c:v>
                </c:pt>
                <c:pt idx="252">
                  <c:v>Midmarket-United States of America-Velo</c:v>
                </c:pt>
                <c:pt idx="253">
                  <c:v>Midmarket-Mexico-Velo</c:v>
                </c:pt>
                <c:pt idx="254">
                  <c:v>Enterprise-Germany-Velo</c:v>
                </c:pt>
                <c:pt idx="255">
                  <c:v>Government-United States of America-Velo</c:v>
                </c:pt>
                <c:pt idx="256">
                  <c:v>Government-United States of America-Velo</c:v>
                </c:pt>
                <c:pt idx="257">
                  <c:v>Government-France-Velo</c:v>
                </c:pt>
                <c:pt idx="258">
                  <c:v>Enterprise-United States of America-Velo</c:v>
                </c:pt>
                <c:pt idx="259">
                  <c:v>Enterprise-France-Velo</c:v>
                </c:pt>
                <c:pt idx="260">
                  <c:v>Government-France-Velo</c:v>
                </c:pt>
                <c:pt idx="261">
                  <c:v>Small Business-Germany-Velo</c:v>
                </c:pt>
                <c:pt idx="262">
                  <c:v>Government-Canada-VTT</c:v>
                </c:pt>
                <c:pt idx="263">
                  <c:v>Government-United States of America-VTT</c:v>
                </c:pt>
                <c:pt idx="264">
                  <c:v>Government-Germany-VTT</c:v>
                </c:pt>
                <c:pt idx="265">
                  <c:v>Government-United States of America-VTT</c:v>
                </c:pt>
                <c:pt idx="266">
                  <c:v>Government-United States of America-VTT</c:v>
                </c:pt>
                <c:pt idx="267">
                  <c:v>Government-France-VTT</c:v>
                </c:pt>
                <c:pt idx="268">
                  <c:v>Government-Germany-Amarilla</c:v>
                </c:pt>
                <c:pt idx="269">
                  <c:v>Government-Canada-Amarilla</c:v>
                </c:pt>
                <c:pt idx="270">
                  <c:v>Government-Canada-Amarilla</c:v>
                </c:pt>
                <c:pt idx="271">
                  <c:v>Small Business-Germany-Amarilla</c:v>
                </c:pt>
                <c:pt idx="272">
                  <c:v>Midmarket-France-Paseo</c:v>
                </c:pt>
                <c:pt idx="273">
                  <c:v>Government-United States of America-Carretera</c:v>
                </c:pt>
                <c:pt idx="274">
                  <c:v>Midmarket-Canada-Carretera</c:v>
                </c:pt>
                <c:pt idx="275">
                  <c:v>Channel Partners-Mexico-Carretera</c:v>
                </c:pt>
                <c:pt idx="276">
                  <c:v>Channel Partners-Canada-Carretera</c:v>
                </c:pt>
                <c:pt idx="277">
                  <c:v>Midmarket-United States of America-Carretera</c:v>
                </c:pt>
                <c:pt idx="278">
                  <c:v>Government-United States of America-Carretera</c:v>
                </c:pt>
                <c:pt idx="279">
                  <c:v>Enterprise-Germany-Carretera</c:v>
                </c:pt>
                <c:pt idx="280">
                  <c:v>Government-Mexico-Montana</c:v>
                </c:pt>
                <c:pt idx="281">
                  <c:v>Government-Germany-Montana</c:v>
                </c:pt>
                <c:pt idx="282">
                  <c:v>Government-France-Montana</c:v>
                </c:pt>
                <c:pt idx="283">
                  <c:v>Channel Partners-United States of America-Montana</c:v>
                </c:pt>
                <c:pt idx="284">
                  <c:v>Government-France-Paseo</c:v>
                </c:pt>
                <c:pt idx="285">
                  <c:v>Channel Partners-Canada-Paseo</c:v>
                </c:pt>
                <c:pt idx="286">
                  <c:v>Government-United States of America-Paseo</c:v>
                </c:pt>
                <c:pt idx="287">
                  <c:v>Enterprise-Canada-Velo</c:v>
                </c:pt>
                <c:pt idx="288">
                  <c:v>Enterprise-United States of America-Velo</c:v>
                </c:pt>
                <c:pt idx="289">
                  <c:v>Midmarket-Germany-Velo</c:v>
                </c:pt>
                <c:pt idx="290">
                  <c:v>Government-France-Velo</c:v>
                </c:pt>
                <c:pt idx="291">
                  <c:v>Government-Mexico-Velo</c:v>
                </c:pt>
                <c:pt idx="292">
                  <c:v>Small Business-France-Velo</c:v>
                </c:pt>
                <c:pt idx="293">
                  <c:v>Government-France-Velo</c:v>
                </c:pt>
                <c:pt idx="294">
                  <c:v>Midmarket-Canada-VTT</c:v>
                </c:pt>
                <c:pt idx="295">
                  <c:v>Government-Mexico-VTT</c:v>
                </c:pt>
                <c:pt idx="296">
                  <c:v>Small Business-France-VTT</c:v>
                </c:pt>
                <c:pt idx="297">
                  <c:v>Government-Mexico-VTT</c:v>
                </c:pt>
                <c:pt idx="298">
                  <c:v>Small Business-Canada-VTT</c:v>
                </c:pt>
                <c:pt idx="299">
                  <c:v>Enterprise-France-Amarilla</c:v>
                </c:pt>
                <c:pt idx="300">
                  <c:v>Government-Mexico-Amarilla</c:v>
                </c:pt>
                <c:pt idx="301">
                  <c:v>Government-United States of America-Amarilla</c:v>
                </c:pt>
                <c:pt idx="302">
                  <c:v>Government-France-Amarilla</c:v>
                </c:pt>
                <c:pt idx="303">
                  <c:v>Government-France-Amarilla</c:v>
                </c:pt>
                <c:pt idx="304">
                  <c:v>Government-France-Montana</c:v>
                </c:pt>
                <c:pt idx="305">
                  <c:v>Midmarket-United States of America-Paseo</c:v>
                </c:pt>
                <c:pt idx="306">
                  <c:v>Midmarket-Germany-Paseo</c:v>
                </c:pt>
                <c:pt idx="307">
                  <c:v>Midmarket-United States of America-Paseo</c:v>
                </c:pt>
                <c:pt idx="308">
                  <c:v>Government-France-Paseo</c:v>
                </c:pt>
                <c:pt idx="309">
                  <c:v>Government-Germany-Velo</c:v>
                </c:pt>
                <c:pt idx="310">
                  <c:v>Government-Mexico-Velo</c:v>
                </c:pt>
                <c:pt idx="311">
                  <c:v>Midmarket-United States of America-VTT</c:v>
                </c:pt>
                <c:pt idx="312">
                  <c:v>Channel Partners-Mexico-Carretera</c:v>
                </c:pt>
                <c:pt idx="313">
                  <c:v>Channel Partners-Canada-Carretera</c:v>
                </c:pt>
                <c:pt idx="314">
                  <c:v>Government-Mexico-Carretera</c:v>
                </c:pt>
                <c:pt idx="315">
                  <c:v>Channel Partners-Mexico-Montana</c:v>
                </c:pt>
                <c:pt idx="316">
                  <c:v>Channel Partners-France-Montana</c:v>
                </c:pt>
                <c:pt idx="317">
                  <c:v>Government-France-Paseo</c:v>
                </c:pt>
                <c:pt idx="318">
                  <c:v>Midmarket-Canada-Velo</c:v>
                </c:pt>
                <c:pt idx="319">
                  <c:v>Government-Canada-Velo</c:v>
                </c:pt>
                <c:pt idx="320">
                  <c:v>Government-United States of America-Velo</c:v>
                </c:pt>
                <c:pt idx="321">
                  <c:v>Government-Canada-Velo</c:v>
                </c:pt>
                <c:pt idx="322">
                  <c:v>Channel Partners-France-VTT</c:v>
                </c:pt>
                <c:pt idx="323">
                  <c:v>Channel Partners-Germany-VTT</c:v>
                </c:pt>
                <c:pt idx="324">
                  <c:v>Government-Canada-VTT</c:v>
                </c:pt>
                <c:pt idx="325">
                  <c:v>Government-Canada-Amarilla</c:v>
                </c:pt>
                <c:pt idx="326">
                  <c:v>Government-United States of America-Carretera</c:v>
                </c:pt>
                <c:pt idx="327">
                  <c:v>Small Business-France-Carretera</c:v>
                </c:pt>
                <c:pt idx="328">
                  <c:v>Small Business-France-Carretera</c:v>
                </c:pt>
                <c:pt idx="329">
                  <c:v>Government-France-Montana</c:v>
                </c:pt>
                <c:pt idx="330">
                  <c:v>Small Business-France-Montana</c:v>
                </c:pt>
                <c:pt idx="331">
                  <c:v>Enterprise-Germany-Montana</c:v>
                </c:pt>
                <c:pt idx="332">
                  <c:v>Small Business-Canada-Paseo</c:v>
                </c:pt>
                <c:pt idx="333">
                  <c:v>Small Business-France-Paseo</c:v>
                </c:pt>
                <c:pt idx="334">
                  <c:v>Enterprise-Germany-Paseo</c:v>
                </c:pt>
                <c:pt idx="335">
                  <c:v>Midmarket-France-Paseo</c:v>
                </c:pt>
                <c:pt idx="336">
                  <c:v>Midmarket-United States of America-Paseo</c:v>
                </c:pt>
                <c:pt idx="337">
                  <c:v>Government-France-Paseo</c:v>
                </c:pt>
                <c:pt idx="338">
                  <c:v>Small Business-Germany-Paseo</c:v>
                </c:pt>
                <c:pt idx="339">
                  <c:v>Small Business-Canada-Paseo</c:v>
                </c:pt>
                <c:pt idx="340">
                  <c:v>Channel Partners-Mexico-Paseo</c:v>
                </c:pt>
                <c:pt idx="341">
                  <c:v>Government-Germany-Paseo</c:v>
                </c:pt>
                <c:pt idx="342">
                  <c:v>Small Business-France-Velo</c:v>
                </c:pt>
                <c:pt idx="343">
                  <c:v>Government-Mexico-Velo</c:v>
                </c:pt>
                <c:pt idx="344">
                  <c:v>Enterprise-Germany-Velo</c:v>
                </c:pt>
                <c:pt idx="345">
                  <c:v>Government-France-Velo</c:v>
                </c:pt>
                <c:pt idx="346">
                  <c:v>Government-United States of America-Velo</c:v>
                </c:pt>
                <c:pt idx="347">
                  <c:v>Small Business-United States of America-Velo</c:v>
                </c:pt>
                <c:pt idx="348">
                  <c:v>Government-Germany-Velo</c:v>
                </c:pt>
                <c:pt idx="349">
                  <c:v>Channel Partners-Canada-VTT</c:v>
                </c:pt>
                <c:pt idx="350">
                  <c:v>Small Business-France-VTT</c:v>
                </c:pt>
                <c:pt idx="351">
                  <c:v>Small Business-Mexico-VTT</c:v>
                </c:pt>
                <c:pt idx="352">
                  <c:v>Enterprise-Canada-Amarilla</c:v>
                </c:pt>
                <c:pt idx="353">
                  <c:v>Government-France-Amarilla</c:v>
                </c:pt>
                <c:pt idx="354">
                  <c:v>Enterprise-Germany-Amarilla</c:v>
                </c:pt>
                <c:pt idx="355">
                  <c:v>Government-Canada-Amarilla</c:v>
                </c:pt>
                <c:pt idx="356">
                  <c:v>Small Business-United States of America-Amarilla</c:v>
                </c:pt>
                <c:pt idx="357">
                  <c:v>Government-Canada-Montana</c:v>
                </c:pt>
                <c:pt idx="358">
                  <c:v>Government-United States of America-Montana</c:v>
                </c:pt>
                <c:pt idx="359">
                  <c:v>Government-Canada-Paseo</c:v>
                </c:pt>
                <c:pt idx="360">
                  <c:v>Government-United States of America-Amarilla</c:v>
                </c:pt>
                <c:pt idx="361">
                  <c:v>Enterprise-Mexico-Carretera</c:v>
                </c:pt>
                <c:pt idx="362">
                  <c:v>Midmarket-France-Carretera</c:v>
                </c:pt>
                <c:pt idx="363">
                  <c:v>Government-Mexico-Carretera</c:v>
                </c:pt>
                <c:pt idx="364">
                  <c:v>Midmarket-France-Montana</c:v>
                </c:pt>
                <c:pt idx="365">
                  <c:v>Government-Canada-Montana</c:v>
                </c:pt>
                <c:pt idx="366">
                  <c:v>Government-Germany-Montana</c:v>
                </c:pt>
                <c:pt idx="367">
                  <c:v>Small Business-France-Montana</c:v>
                </c:pt>
                <c:pt idx="368">
                  <c:v>Small Business-Canada-Montana</c:v>
                </c:pt>
                <c:pt idx="369">
                  <c:v>Midmarket-Germany-Montana</c:v>
                </c:pt>
                <c:pt idx="370">
                  <c:v>Enterprise-Mexico-Paseo</c:v>
                </c:pt>
                <c:pt idx="371">
                  <c:v>Government-Germany-Paseo</c:v>
                </c:pt>
                <c:pt idx="372">
                  <c:v>Government-Germany-Paseo</c:v>
                </c:pt>
                <c:pt idx="373">
                  <c:v>Government-Germany-Paseo</c:v>
                </c:pt>
                <c:pt idx="374">
                  <c:v>Small Business-Mexico-Paseo</c:v>
                </c:pt>
                <c:pt idx="375">
                  <c:v>Government-United States of America-Paseo</c:v>
                </c:pt>
                <c:pt idx="376">
                  <c:v>Government-Germany-Paseo</c:v>
                </c:pt>
                <c:pt idx="377">
                  <c:v>Government-Germany-Paseo</c:v>
                </c:pt>
                <c:pt idx="378">
                  <c:v>Government-Germany-Paseo</c:v>
                </c:pt>
                <c:pt idx="379">
                  <c:v>Government-Mexico-Paseo</c:v>
                </c:pt>
                <c:pt idx="380">
                  <c:v>Government-Germany-Paseo</c:v>
                </c:pt>
                <c:pt idx="381">
                  <c:v>Government-Mexico-Paseo</c:v>
                </c:pt>
                <c:pt idx="382">
                  <c:v>Government-Mexico-Paseo</c:v>
                </c:pt>
                <c:pt idx="383">
                  <c:v>Channel Partners-Canada-Velo</c:v>
                </c:pt>
                <c:pt idx="384">
                  <c:v>Government-United States of America-Velo</c:v>
                </c:pt>
                <c:pt idx="385">
                  <c:v>Government-Germany-Velo</c:v>
                </c:pt>
                <c:pt idx="386">
                  <c:v>Small Business-France-Velo</c:v>
                </c:pt>
                <c:pt idx="387">
                  <c:v>Small Business-Mexico-Velo</c:v>
                </c:pt>
                <c:pt idx="388">
                  <c:v>Government-France-VTT</c:v>
                </c:pt>
                <c:pt idx="389">
                  <c:v>Government-Germany-VTT</c:v>
                </c:pt>
                <c:pt idx="390">
                  <c:v>Government-France-VTT</c:v>
                </c:pt>
                <c:pt idx="391">
                  <c:v>Government-Germany-VTT</c:v>
                </c:pt>
                <c:pt idx="392">
                  <c:v>Small Business-Canada-VTT</c:v>
                </c:pt>
                <c:pt idx="393">
                  <c:v>Small Business-United States of America-VTT</c:v>
                </c:pt>
                <c:pt idx="394">
                  <c:v>Government-Canada-Amarilla</c:v>
                </c:pt>
                <c:pt idx="395">
                  <c:v>Government-United States of America-Amarilla</c:v>
                </c:pt>
                <c:pt idx="396">
                  <c:v>Government-Germany-Amarilla</c:v>
                </c:pt>
                <c:pt idx="397">
                  <c:v>Small Business-Mexico-Amarilla</c:v>
                </c:pt>
                <c:pt idx="398">
                  <c:v>Government-Germany-Amarilla</c:v>
                </c:pt>
                <c:pt idx="399">
                  <c:v>Midmarket-Germany-Amarilla</c:v>
                </c:pt>
                <c:pt idx="400">
                  <c:v>Channel Partners-Mexico-Amarilla</c:v>
                </c:pt>
                <c:pt idx="401">
                  <c:v>Small Business-Mexico-Amarilla</c:v>
                </c:pt>
                <c:pt idx="402">
                  <c:v>Government-United States of America-VTT</c:v>
                </c:pt>
                <c:pt idx="403">
                  <c:v>Small Business-Canada-Carretera</c:v>
                </c:pt>
                <c:pt idx="404">
                  <c:v>Channel Partners-Mexico-Carretera</c:v>
                </c:pt>
                <c:pt idx="405">
                  <c:v>Small Business-Canada-Montana</c:v>
                </c:pt>
                <c:pt idx="406">
                  <c:v>Government-France-Montana</c:v>
                </c:pt>
                <c:pt idx="407">
                  <c:v>Small Business-France-Montana</c:v>
                </c:pt>
                <c:pt idx="408">
                  <c:v>Channel Partners-Canada-Montana</c:v>
                </c:pt>
                <c:pt idx="409">
                  <c:v>Enterprise-France-Montana</c:v>
                </c:pt>
                <c:pt idx="410">
                  <c:v>Government-Canada-Montana</c:v>
                </c:pt>
                <c:pt idx="411">
                  <c:v>Enterprise-United States of America-Montana</c:v>
                </c:pt>
                <c:pt idx="412">
                  <c:v>Small Business-Germany-Montana</c:v>
                </c:pt>
                <c:pt idx="413">
                  <c:v>Small Business-Mexico-Paseo</c:v>
                </c:pt>
                <c:pt idx="414">
                  <c:v>Government-Mexico-Paseo</c:v>
                </c:pt>
                <c:pt idx="415">
                  <c:v>Midmarket-United States of America-Paseo</c:v>
                </c:pt>
                <c:pt idx="416">
                  <c:v>Small Business-Canada-Paseo</c:v>
                </c:pt>
                <c:pt idx="417">
                  <c:v>Midmarket-France-Paseo</c:v>
                </c:pt>
                <c:pt idx="418">
                  <c:v>Channel Partners-Mexico-Paseo</c:v>
                </c:pt>
                <c:pt idx="419">
                  <c:v>Small Business-France-Paseo</c:v>
                </c:pt>
                <c:pt idx="420">
                  <c:v>Channel Partners-Germany-Paseo</c:v>
                </c:pt>
                <c:pt idx="421">
                  <c:v>Enterprise-United States of America-Paseo</c:v>
                </c:pt>
                <c:pt idx="422">
                  <c:v>Midmarket-Mexico-Velo</c:v>
                </c:pt>
                <c:pt idx="423">
                  <c:v>Small Business-Canada-Velo</c:v>
                </c:pt>
                <c:pt idx="424">
                  <c:v>Government-Germany-Velo</c:v>
                </c:pt>
                <c:pt idx="425">
                  <c:v>Enterprise-Canada-Velo</c:v>
                </c:pt>
                <c:pt idx="426">
                  <c:v>Enterprise-Mexico-Velo</c:v>
                </c:pt>
                <c:pt idx="427">
                  <c:v>Government-Canada-Velo</c:v>
                </c:pt>
                <c:pt idx="428">
                  <c:v>Channel Partners-United States of America-VTT</c:v>
                </c:pt>
                <c:pt idx="429">
                  <c:v>Small Business-Germany-VTT</c:v>
                </c:pt>
                <c:pt idx="430">
                  <c:v>Government-United States of America-VTT</c:v>
                </c:pt>
                <c:pt idx="431">
                  <c:v>Channel Partners-Germany-VTT</c:v>
                </c:pt>
                <c:pt idx="432">
                  <c:v>Small Business-United States of America-VTT</c:v>
                </c:pt>
                <c:pt idx="433">
                  <c:v>Channel Partners-France-VTT</c:v>
                </c:pt>
                <c:pt idx="434">
                  <c:v>Midmarket-France-VTT</c:v>
                </c:pt>
                <c:pt idx="435">
                  <c:v>Enterprise-Mexico-VTT</c:v>
                </c:pt>
                <c:pt idx="436">
                  <c:v>Government-United States of America-Amarilla</c:v>
                </c:pt>
                <c:pt idx="437">
                  <c:v>Government-Canada-Amarilla</c:v>
                </c:pt>
                <c:pt idx="438">
                  <c:v>Midmarket-Germany-Amarilla</c:v>
                </c:pt>
                <c:pt idx="439">
                  <c:v>Government-Mexico-Amarilla</c:v>
                </c:pt>
                <c:pt idx="440">
                  <c:v>Government-Germany-Carretera</c:v>
                </c:pt>
                <c:pt idx="441">
                  <c:v>Government-Canada-Carretera</c:v>
                </c:pt>
                <c:pt idx="442">
                  <c:v>Channel Partners-Germany-Carretera</c:v>
                </c:pt>
                <c:pt idx="443">
                  <c:v>Government-Mexico-Carretera</c:v>
                </c:pt>
                <c:pt idx="444">
                  <c:v>Government-United States of America-Paseo</c:v>
                </c:pt>
                <c:pt idx="445">
                  <c:v>Government-Mexico-Paseo</c:v>
                </c:pt>
                <c:pt idx="446">
                  <c:v>Government-Germany-Paseo</c:v>
                </c:pt>
                <c:pt idx="447">
                  <c:v>Channel Partners-France-Velo</c:v>
                </c:pt>
                <c:pt idx="448">
                  <c:v>Midmarket-Mexico-Velo</c:v>
                </c:pt>
                <c:pt idx="449">
                  <c:v>Government-Germany-VTT</c:v>
                </c:pt>
                <c:pt idx="450">
                  <c:v>Government-France-VTT</c:v>
                </c:pt>
                <c:pt idx="451">
                  <c:v>Government-Mexico-VTT</c:v>
                </c:pt>
                <c:pt idx="452">
                  <c:v>Government-Mexico-Amarilla</c:v>
                </c:pt>
                <c:pt idx="453">
                  <c:v>Midmarket-Canada-Amarilla</c:v>
                </c:pt>
                <c:pt idx="454">
                  <c:v>Channel Partners-France-Amarilla</c:v>
                </c:pt>
                <c:pt idx="455">
                  <c:v>Channel Partners-United States of America-Carretera</c:v>
                </c:pt>
                <c:pt idx="456">
                  <c:v>Government-United States of America-Montana</c:v>
                </c:pt>
                <c:pt idx="457">
                  <c:v>Channel Partners-United States of America-Paseo</c:v>
                </c:pt>
                <c:pt idx="458">
                  <c:v>Enterprise-United States of America-Carretera</c:v>
                </c:pt>
                <c:pt idx="459">
                  <c:v>Enterprise-France-Carretera</c:v>
                </c:pt>
                <c:pt idx="460">
                  <c:v>Government-United States of America-Montana</c:v>
                </c:pt>
                <c:pt idx="461">
                  <c:v>Enterprise-United States of America-Montana</c:v>
                </c:pt>
                <c:pt idx="462">
                  <c:v>Midmarket-France-Montana</c:v>
                </c:pt>
                <c:pt idx="463">
                  <c:v>Government-France-Paseo</c:v>
                </c:pt>
                <c:pt idx="464">
                  <c:v>Small Business-Mexico-Paseo</c:v>
                </c:pt>
                <c:pt idx="465">
                  <c:v>Midmarket-France-Paseo</c:v>
                </c:pt>
                <c:pt idx="466">
                  <c:v>Government-Germany-Paseo</c:v>
                </c:pt>
                <c:pt idx="467">
                  <c:v>Midmarket-Germany-Velo</c:v>
                </c:pt>
                <c:pt idx="468">
                  <c:v>Midmarket-Germany-Velo</c:v>
                </c:pt>
                <c:pt idx="469">
                  <c:v>Midmarket-United States of America-Velo</c:v>
                </c:pt>
                <c:pt idx="470">
                  <c:v>Government-France-Velo</c:v>
                </c:pt>
                <c:pt idx="471">
                  <c:v>Enterprise-United States of America-Velo</c:v>
                </c:pt>
                <c:pt idx="472">
                  <c:v>Small Business-United States of America-Velo</c:v>
                </c:pt>
                <c:pt idx="473">
                  <c:v>Government-Germany-Velo</c:v>
                </c:pt>
                <c:pt idx="474">
                  <c:v>Government-Germany-Velo</c:v>
                </c:pt>
                <c:pt idx="475">
                  <c:v>Enterprise-Canada-Velo</c:v>
                </c:pt>
                <c:pt idx="476">
                  <c:v>Small Business-France-Velo</c:v>
                </c:pt>
                <c:pt idx="477">
                  <c:v>Enterprise-Mexico-VTT</c:v>
                </c:pt>
                <c:pt idx="478">
                  <c:v>Midmarket-Mexico-VTT</c:v>
                </c:pt>
                <c:pt idx="479">
                  <c:v>Government-United States of America-VTT</c:v>
                </c:pt>
                <c:pt idx="480">
                  <c:v>Small Business-Mexico-VTT</c:v>
                </c:pt>
                <c:pt idx="481">
                  <c:v>Small Business-United States of America-VTT</c:v>
                </c:pt>
                <c:pt idx="482">
                  <c:v>Midmarket-France-VTT</c:v>
                </c:pt>
                <c:pt idx="483">
                  <c:v>Enterprise-Canada-VTT</c:v>
                </c:pt>
                <c:pt idx="484">
                  <c:v>Government-Germany-VTT</c:v>
                </c:pt>
                <c:pt idx="485">
                  <c:v>Enterprise-United States of America-Amarilla</c:v>
                </c:pt>
                <c:pt idx="486">
                  <c:v>Government-Canada-Amarilla</c:v>
                </c:pt>
                <c:pt idx="487">
                  <c:v>Small Business-United States of America-Amarilla</c:v>
                </c:pt>
                <c:pt idx="488">
                  <c:v>Channel Partners-Canada-Amarilla</c:v>
                </c:pt>
                <c:pt idx="489">
                  <c:v>Government-Mexico-Amarilla</c:v>
                </c:pt>
                <c:pt idx="490">
                  <c:v>Channel Partners-Germany-Amarilla</c:v>
                </c:pt>
                <c:pt idx="491">
                  <c:v>Government-Canada-Amarilla</c:v>
                </c:pt>
                <c:pt idx="492">
                  <c:v>Midmarket-France-Amarilla</c:v>
                </c:pt>
                <c:pt idx="493">
                  <c:v>Small Business-France-Amarilla</c:v>
                </c:pt>
                <c:pt idx="494">
                  <c:v>Channel Partners-France-Carretera</c:v>
                </c:pt>
                <c:pt idx="495">
                  <c:v>Government-France-Paseo</c:v>
                </c:pt>
                <c:pt idx="496">
                  <c:v>Channel Partners-France-Paseo</c:v>
                </c:pt>
                <c:pt idx="497">
                  <c:v>Midmarket-Canada-Velo</c:v>
                </c:pt>
                <c:pt idx="498">
                  <c:v>Channel Partners-Germany-Velo</c:v>
                </c:pt>
                <c:pt idx="499">
                  <c:v>Government-United States of America-VTT</c:v>
                </c:pt>
                <c:pt idx="500">
                  <c:v>Channel Partners-Mexico-VTT</c:v>
                </c:pt>
                <c:pt idx="501">
                  <c:v>Midmarket-United States of America-Amarilla</c:v>
                </c:pt>
                <c:pt idx="502">
                  <c:v>Channel Partners-Germany-Amarilla</c:v>
                </c:pt>
                <c:pt idx="503">
                  <c:v>Channel Partners-Canada-Carretera</c:v>
                </c:pt>
                <c:pt idx="504">
                  <c:v>Government-Germany-Carretera</c:v>
                </c:pt>
                <c:pt idx="505">
                  <c:v>Small Business-Germany-Carretera</c:v>
                </c:pt>
                <c:pt idx="506">
                  <c:v>Enterprise-France-Carretera</c:v>
                </c:pt>
                <c:pt idx="507">
                  <c:v>Midmarket-Canada-Carretera</c:v>
                </c:pt>
                <c:pt idx="508">
                  <c:v>Government-Mexico-Carretera</c:v>
                </c:pt>
                <c:pt idx="509">
                  <c:v>Government-Germany-Montana</c:v>
                </c:pt>
                <c:pt idx="510">
                  <c:v>Government-Germany-Montana</c:v>
                </c:pt>
                <c:pt idx="511">
                  <c:v>Midmarket-Mexico-Montana</c:v>
                </c:pt>
                <c:pt idx="512">
                  <c:v>Small Business-Canada-Paseo</c:v>
                </c:pt>
                <c:pt idx="513">
                  <c:v>Government-Mexico-Paseo</c:v>
                </c:pt>
                <c:pt idx="514">
                  <c:v>Government-Canada-Paseo</c:v>
                </c:pt>
                <c:pt idx="515">
                  <c:v>Channel Partners-Canada-Paseo</c:v>
                </c:pt>
                <c:pt idx="516">
                  <c:v>Channel Partners-France-Paseo</c:v>
                </c:pt>
                <c:pt idx="517">
                  <c:v>Government-Canada-Paseo</c:v>
                </c:pt>
                <c:pt idx="518">
                  <c:v>Midmarket-Mexico-Paseo</c:v>
                </c:pt>
                <c:pt idx="519">
                  <c:v>Enterprise-France-Paseo</c:v>
                </c:pt>
                <c:pt idx="520">
                  <c:v>Government-Germany-Paseo</c:v>
                </c:pt>
                <c:pt idx="521">
                  <c:v>Small Business-Canada-Paseo</c:v>
                </c:pt>
                <c:pt idx="522">
                  <c:v>Government-France-Velo</c:v>
                </c:pt>
                <c:pt idx="523">
                  <c:v>Midmarket-Mexico-Velo</c:v>
                </c:pt>
                <c:pt idx="524">
                  <c:v>Government-Mexico-Velo</c:v>
                </c:pt>
                <c:pt idx="525">
                  <c:v>Government-Canada-Velo</c:v>
                </c:pt>
                <c:pt idx="526">
                  <c:v>Channel Partners-France-VTT</c:v>
                </c:pt>
                <c:pt idx="527">
                  <c:v>Enterprise-Mexico-VTT</c:v>
                </c:pt>
                <c:pt idx="528">
                  <c:v>Government-Canada-VTT</c:v>
                </c:pt>
                <c:pt idx="529">
                  <c:v>Enterprise-Germany-Amarilla</c:v>
                </c:pt>
                <c:pt idx="530">
                  <c:v>Government-Mexico-Amarilla</c:v>
                </c:pt>
                <c:pt idx="531">
                  <c:v>Enterprise-France-Amarilla</c:v>
                </c:pt>
                <c:pt idx="532">
                  <c:v>Enterprise-Mexico-Amarilla</c:v>
                </c:pt>
                <c:pt idx="533">
                  <c:v>Government-Mexico-Amarilla</c:v>
                </c:pt>
                <c:pt idx="534">
                  <c:v>Midmarket-Mexico-Amarilla</c:v>
                </c:pt>
                <c:pt idx="535">
                  <c:v>Government-United States of America-Paseo</c:v>
                </c:pt>
                <c:pt idx="536">
                  <c:v>Government-Mexico-Carretera</c:v>
                </c:pt>
                <c:pt idx="537">
                  <c:v>Enterprise-Canada-Carretera</c:v>
                </c:pt>
                <c:pt idx="538">
                  <c:v>Enterprise-Mexico-Carretera</c:v>
                </c:pt>
                <c:pt idx="539">
                  <c:v>Midmarket-Canada-Carretera</c:v>
                </c:pt>
                <c:pt idx="540">
                  <c:v>Midmarket-United States of America-Montana</c:v>
                </c:pt>
                <c:pt idx="541">
                  <c:v>Small Business-France-Montana</c:v>
                </c:pt>
                <c:pt idx="542">
                  <c:v>Government-Mexico-Montana</c:v>
                </c:pt>
                <c:pt idx="543">
                  <c:v>Government-Canada-Montana</c:v>
                </c:pt>
                <c:pt idx="544">
                  <c:v>Government-Mexico-Montana</c:v>
                </c:pt>
                <c:pt idx="545">
                  <c:v>Small Business-France-Montana</c:v>
                </c:pt>
                <c:pt idx="546">
                  <c:v>Small Business-United States of America-Paseo</c:v>
                </c:pt>
                <c:pt idx="547">
                  <c:v>Government-Mexico-Paseo</c:v>
                </c:pt>
                <c:pt idx="548">
                  <c:v>Enterprise-Mexico-Paseo</c:v>
                </c:pt>
                <c:pt idx="549">
                  <c:v>Government-Mexico-Paseo</c:v>
                </c:pt>
                <c:pt idx="550">
                  <c:v>Government-Mexico-Paseo</c:v>
                </c:pt>
                <c:pt idx="551">
                  <c:v>Government-France-Paseo</c:v>
                </c:pt>
                <c:pt idx="552">
                  <c:v>Small Business-Germany-Paseo</c:v>
                </c:pt>
                <c:pt idx="553">
                  <c:v>Small Business-Mexico-Paseo</c:v>
                </c:pt>
                <c:pt idx="554">
                  <c:v>Government-Mexico-Paseo</c:v>
                </c:pt>
                <c:pt idx="555">
                  <c:v>Midmarket-Mexico-Paseo</c:v>
                </c:pt>
                <c:pt idx="556">
                  <c:v>Government-Mexico-Paseo</c:v>
                </c:pt>
                <c:pt idx="557">
                  <c:v>Government-Mexico-Velo</c:v>
                </c:pt>
                <c:pt idx="558">
                  <c:v>Government-United States of America-Velo</c:v>
                </c:pt>
                <c:pt idx="559">
                  <c:v>Government-Mexico-Velo</c:v>
                </c:pt>
                <c:pt idx="560">
                  <c:v>Channel Partners-Canada-VTT</c:v>
                </c:pt>
                <c:pt idx="561">
                  <c:v>Midmarket-France-VTT</c:v>
                </c:pt>
                <c:pt idx="562">
                  <c:v>Government-Canada-VTT</c:v>
                </c:pt>
                <c:pt idx="563">
                  <c:v>Government-United States of America-VTT</c:v>
                </c:pt>
                <c:pt idx="564">
                  <c:v>Enterprise-United States of America-VTT</c:v>
                </c:pt>
                <c:pt idx="565">
                  <c:v>Government-Mexico-VTT</c:v>
                </c:pt>
                <c:pt idx="566">
                  <c:v>Government-United States of America-Amarilla</c:v>
                </c:pt>
                <c:pt idx="567">
                  <c:v>Government-France-Amarilla</c:v>
                </c:pt>
                <c:pt idx="568">
                  <c:v>Government-Canada-Amarilla</c:v>
                </c:pt>
                <c:pt idx="569">
                  <c:v>Midmarket-United States of America-Amarilla</c:v>
                </c:pt>
                <c:pt idx="570">
                  <c:v>Government-France-Carretera</c:v>
                </c:pt>
                <c:pt idx="571">
                  <c:v>Channel Partners-Mexico-Montana</c:v>
                </c:pt>
                <c:pt idx="572">
                  <c:v>Government-Germany-Paseo</c:v>
                </c:pt>
                <c:pt idx="573">
                  <c:v>Government-France-VTT</c:v>
                </c:pt>
                <c:pt idx="574">
                  <c:v>Government-Germany-VTT</c:v>
                </c:pt>
                <c:pt idx="575">
                  <c:v>Channel Partners-Canada-Amarilla</c:v>
                </c:pt>
                <c:pt idx="576">
                  <c:v>Midmarket-United States of America-Carretera</c:v>
                </c:pt>
                <c:pt idx="577">
                  <c:v>Midmarket-United States of America-VTT</c:v>
                </c:pt>
                <c:pt idx="578">
                  <c:v>Government-Canada-Carretera</c:v>
                </c:pt>
                <c:pt idx="579">
                  <c:v>Government-France-Carretera</c:v>
                </c:pt>
                <c:pt idx="580">
                  <c:v>Government-Germany-Carretera</c:v>
                </c:pt>
                <c:pt idx="581">
                  <c:v>Government-United States of America-Montana</c:v>
                </c:pt>
                <c:pt idx="582">
                  <c:v>Government-United States of America-Montana</c:v>
                </c:pt>
                <c:pt idx="583">
                  <c:v>Channel Partners-Mexico-Montana</c:v>
                </c:pt>
                <c:pt idx="584">
                  <c:v>Government-Mexico-Montana</c:v>
                </c:pt>
                <c:pt idx="585">
                  <c:v>Government-Canada-Montana</c:v>
                </c:pt>
                <c:pt idx="586">
                  <c:v>Government-United States of America-Paseo</c:v>
                </c:pt>
                <c:pt idx="587">
                  <c:v>Small Business-Germany-Paseo</c:v>
                </c:pt>
                <c:pt idx="588">
                  <c:v>Government-United States of America-Paseo</c:v>
                </c:pt>
                <c:pt idx="589">
                  <c:v>Government-Germany-Paseo</c:v>
                </c:pt>
                <c:pt idx="590">
                  <c:v>Government-Canada-Paseo</c:v>
                </c:pt>
                <c:pt idx="591">
                  <c:v>Enterprise-Canada-Paseo</c:v>
                </c:pt>
                <c:pt idx="592">
                  <c:v>Channel Partners-Mexico-Paseo</c:v>
                </c:pt>
                <c:pt idx="593">
                  <c:v>Government-France-Paseo</c:v>
                </c:pt>
                <c:pt idx="594">
                  <c:v>Midmarket-Canada-Paseo</c:v>
                </c:pt>
                <c:pt idx="595">
                  <c:v>Government-Canada-Paseo</c:v>
                </c:pt>
                <c:pt idx="596">
                  <c:v>Government-Germany-Paseo</c:v>
                </c:pt>
                <c:pt idx="597">
                  <c:v>Channel Partners-Germany-Paseo</c:v>
                </c:pt>
                <c:pt idx="598">
                  <c:v>Midmarket-France-Velo</c:v>
                </c:pt>
                <c:pt idx="599">
                  <c:v>Government-Canada-Velo</c:v>
                </c:pt>
                <c:pt idx="600">
                  <c:v>Government-France-Velo</c:v>
                </c:pt>
                <c:pt idx="601">
                  <c:v>Channel Partners-Mexico-Velo</c:v>
                </c:pt>
                <c:pt idx="602">
                  <c:v>Midmarket-Germany-Velo</c:v>
                </c:pt>
                <c:pt idx="603">
                  <c:v>Channel Partners-Mexico-Velo</c:v>
                </c:pt>
                <c:pt idx="604">
                  <c:v>Small Business-Mexico-Velo</c:v>
                </c:pt>
                <c:pt idx="605">
                  <c:v>Channel Partners-Germany-Velo</c:v>
                </c:pt>
                <c:pt idx="606">
                  <c:v>Enterprise-Canada-VTT</c:v>
                </c:pt>
                <c:pt idx="607">
                  <c:v>Midmarket-Canada-VTT</c:v>
                </c:pt>
                <c:pt idx="608">
                  <c:v>Enterprise-Canada-Amarilla</c:v>
                </c:pt>
                <c:pt idx="609">
                  <c:v>Government-France-Amarilla</c:v>
                </c:pt>
                <c:pt idx="610">
                  <c:v>Channel Partners-Mexico-Amarilla</c:v>
                </c:pt>
                <c:pt idx="611">
                  <c:v>Channel Partners-Germany-Amarilla</c:v>
                </c:pt>
                <c:pt idx="612">
                  <c:v>Government-Mexico-Carretera</c:v>
                </c:pt>
                <c:pt idx="613">
                  <c:v>Government-United States of America-Carretera</c:v>
                </c:pt>
                <c:pt idx="614">
                  <c:v>Government-United States of America-Carretera</c:v>
                </c:pt>
                <c:pt idx="615">
                  <c:v>Government-Germany-Carretera</c:v>
                </c:pt>
                <c:pt idx="616">
                  <c:v>Government-France-Montana</c:v>
                </c:pt>
                <c:pt idx="617">
                  <c:v>Government-United States of America-Montana</c:v>
                </c:pt>
                <c:pt idx="618">
                  <c:v>Midmarket-Germany-Paseo</c:v>
                </c:pt>
                <c:pt idx="619">
                  <c:v>Government-Canada-Paseo</c:v>
                </c:pt>
                <c:pt idx="620">
                  <c:v>Midmarket-United States of America-Paseo</c:v>
                </c:pt>
                <c:pt idx="621">
                  <c:v>Channel Partners-France-Paseo</c:v>
                </c:pt>
                <c:pt idx="622">
                  <c:v>Government-Germany-VTT</c:v>
                </c:pt>
                <c:pt idx="623">
                  <c:v>Channel Partners-France-Amarilla</c:v>
                </c:pt>
                <c:pt idx="624">
                  <c:v>Channel Partners-United States of America-Amarilla</c:v>
                </c:pt>
                <c:pt idx="625">
                  <c:v>Small Business-Mexico-Carretera</c:v>
                </c:pt>
                <c:pt idx="626">
                  <c:v>Enterprise-France-Carretera</c:v>
                </c:pt>
                <c:pt idx="627">
                  <c:v>Small Business-Canada-Carretera</c:v>
                </c:pt>
                <c:pt idx="628">
                  <c:v>Small Business-United States of America-Carretera</c:v>
                </c:pt>
                <c:pt idx="629">
                  <c:v>Midmarket-Germany-Carretera</c:v>
                </c:pt>
                <c:pt idx="630">
                  <c:v>Midmarket-Canada-Carretera</c:v>
                </c:pt>
                <c:pt idx="631">
                  <c:v>Enterprise-Mexico-Carretera</c:v>
                </c:pt>
                <c:pt idx="632">
                  <c:v>Government-Canada-Montana</c:v>
                </c:pt>
                <c:pt idx="633">
                  <c:v>Government-Germany-Montana</c:v>
                </c:pt>
                <c:pt idx="634">
                  <c:v>Government-Canada-Montana</c:v>
                </c:pt>
                <c:pt idx="635">
                  <c:v>Government-Canada-Montana</c:v>
                </c:pt>
                <c:pt idx="636">
                  <c:v>Government-Mexico-Montana</c:v>
                </c:pt>
                <c:pt idx="637">
                  <c:v>Midmarket-Canada-Montana</c:v>
                </c:pt>
                <c:pt idx="638">
                  <c:v>Government-Mexico-Paseo</c:v>
                </c:pt>
                <c:pt idx="639">
                  <c:v>Midmarket-Canada-Paseo</c:v>
                </c:pt>
                <c:pt idx="640">
                  <c:v>Midmarket-Canada-Paseo</c:v>
                </c:pt>
                <c:pt idx="641">
                  <c:v>Channel Partners-United States of America-Paseo</c:v>
                </c:pt>
                <c:pt idx="642">
                  <c:v>Government-France-Paseo</c:v>
                </c:pt>
                <c:pt idx="643">
                  <c:v>Government-Canada-Paseo</c:v>
                </c:pt>
                <c:pt idx="644">
                  <c:v>Channel Partners-Canada-Paseo</c:v>
                </c:pt>
                <c:pt idx="645">
                  <c:v>Government-United States of America-Paseo</c:v>
                </c:pt>
                <c:pt idx="646">
                  <c:v>Government-France-Paseo</c:v>
                </c:pt>
                <c:pt idx="647">
                  <c:v>Enterprise-Mexico-Velo</c:v>
                </c:pt>
                <c:pt idx="648">
                  <c:v>Government-United States of America-Velo</c:v>
                </c:pt>
                <c:pt idx="649">
                  <c:v>Small Business-United States of America-Velo</c:v>
                </c:pt>
                <c:pt idx="650">
                  <c:v>Small Business-Canada-Velo</c:v>
                </c:pt>
                <c:pt idx="651">
                  <c:v>Small Business-Germany-Velo</c:v>
                </c:pt>
                <c:pt idx="652">
                  <c:v>Government-Mexico-VTT</c:v>
                </c:pt>
                <c:pt idx="653">
                  <c:v>Small Business-United States of America-VTT</c:v>
                </c:pt>
                <c:pt idx="654">
                  <c:v>Small Business-Canada-VTT</c:v>
                </c:pt>
                <c:pt idx="655">
                  <c:v>Small Business-Canada-VTT</c:v>
                </c:pt>
                <c:pt idx="656">
                  <c:v>Small Business-United States of America-VTT</c:v>
                </c:pt>
                <c:pt idx="657">
                  <c:v>Government-France-VTT</c:v>
                </c:pt>
                <c:pt idx="658">
                  <c:v>Small Business-Canada-Amarilla</c:v>
                </c:pt>
                <c:pt idx="659">
                  <c:v>Enterprise-United States of America-Amarilla</c:v>
                </c:pt>
                <c:pt idx="660">
                  <c:v>Channel Partners-France-Amarilla</c:v>
                </c:pt>
                <c:pt idx="661">
                  <c:v>Midmarket-Canada-Amarilla</c:v>
                </c:pt>
                <c:pt idx="662">
                  <c:v>Channel Partners-United States of America-Amarilla</c:v>
                </c:pt>
                <c:pt idx="663">
                  <c:v>Government-France-Amarilla</c:v>
                </c:pt>
                <c:pt idx="664">
                  <c:v>Government-Mexico-Amarilla</c:v>
                </c:pt>
                <c:pt idx="665">
                  <c:v>Midmarket-Mexico-Amarilla</c:v>
                </c:pt>
                <c:pt idx="666">
                  <c:v>Enterprise-France-Carretera</c:v>
                </c:pt>
                <c:pt idx="667">
                  <c:v>Enterprise-Germany-Carretera</c:v>
                </c:pt>
                <c:pt idx="668">
                  <c:v>Enterprise-Germany-Carretera</c:v>
                </c:pt>
                <c:pt idx="669">
                  <c:v>Small Business-Mexico-Montana</c:v>
                </c:pt>
                <c:pt idx="670">
                  <c:v>Government-Germany-Paseo</c:v>
                </c:pt>
                <c:pt idx="671">
                  <c:v>Midmarket-Canada-Paseo</c:v>
                </c:pt>
                <c:pt idx="672">
                  <c:v>Government-Mexico-Paseo</c:v>
                </c:pt>
                <c:pt idx="673">
                  <c:v>Government-Mexico-Paseo</c:v>
                </c:pt>
                <c:pt idx="674">
                  <c:v>Midmarket-Canada-Paseo</c:v>
                </c:pt>
                <c:pt idx="675">
                  <c:v>Government-United States of America-Paseo</c:v>
                </c:pt>
                <c:pt idx="676">
                  <c:v>Enterprise-Germany-Paseo</c:v>
                </c:pt>
                <c:pt idx="677">
                  <c:v>Midmarket-Germany-Paseo</c:v>
                </c:pt>
                <c:pt idx="678">
                  <c:v>Government-United States of America-Paseo</c:v>
                </c:pt>
                <c:pt idx="679">
                  <c:v>Government-Mexico-Paseo</c:v>
                </c:pt>
                <c:pt idx="680">
                  <c:v>Channel Partners-United States of America-Paseo</c:v>
                </c:pt>
                <c:pt idx="681">
                  <c:v>Government-France-Paseo</c:v>
                </c:pt>
                <c:pt idx="682">
                  <c:v>Channel Partners-Mexico-Velo</c:v>
                </c:pt>
                <c:pt idx="683">
                  <c:v>Midmarket-France-Velo</c:v>
                </c:pt>
                <c:pt idx="684">
                  <c:v>Enterprise-France-Velo</c:v>
                </c:pt>
                <c:pt idx="685">
                  <c:v>Small Business-United States of America-Velo</c:v>
                </c:pt>
                <c:pt idx="686">
                  <c:v>Enterprise-United States of America-Velo</c:v>
                </c:pt>
                <c:pt idx="687">
                  <c:v>Channel Partners-United States of America-Velo</c:v>
                </c:pt>
                <c:pt idx="688">
                  <c:v>Government-Canada-VTT</c:v>
                </c:pt>
                <c:pt idx="689">
                  <c:v>Midmarket-Germany-VTT</c:v>
                </c:pt>
                <c:pt idx="690">
                  <c:v>Government-United States of America-VTT</c:v>
                </c:pt>
                <c:pt idx="691">
                  <c:v>Midmarket-Germany-VTT</c:v>
                </c:pt>
                <c:pt idx="692">
                  <c:v>Enterprise-Canada-VTT</c:v>
                </c:pt>
                <c:pt idx="693">
                  <c:v>Enterprise-Germany-VTT</c:v>
                </c:pt>
                <c:pt idx="694">
                  <c:v>Government-France-VTT</c:v>
                </c:pt>
                <c:pt idx="695">
                  <c:v>Small Business-France-Amarilla</c:v>
                </c:pt>
                <c:pt idx="696">
                  <c:v>Small Business-Mexico-Amarilla</c:v>
                </c:pt>
                <c:pt idx="697">
                  <c:v>Government-Mexico-Montana</c:v>
                </c:pt>
                <c:pt idx="698">
                  <c:v>Government-Canada-Paseo</c:v>
                </c:pt>
                <c:pt idx="699">
                  <c:v>Channel Partners-United States of America-VTT</c:v>
                </c:pt>
              </c:strCache>
            </c:strRef>
          </c:xVal>
          <c:yVal>
            <c:numRef>
              <c:f>Sheet1!$B$4:$B$703</c:f>
              <c:numCache>
                <c:formatCode>General</c:formatCode>
                <c:ptCount val="7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numCache>
            </c:numRef>
          </c:yVal>
          <c:bubbleSize>
            <c:numRef>
              <c:f>Sheet1!$C$4:$C$703</c:f>
              <c:numCache>
                <c:formatCode>General</c:formatCode>
                <c:ptCount val="700"/>
                <c:pt idx="0">
                  <c:v>1618.5</c:v>
                </c:pt>
                <c:pt idx="1">
                  <c:v>1321</c:v>
                </c:pt>
                <c:pt idx="2">
                  <c:v>2178</c:v>
                </c:pt>
                <c:pt idx="3">
                  <c:v>888</c:v>
                </c:pt>
                <c:pt idx="4">
                  <c:v>2470</c:v>
                </c:pt>
                <c:pt idx="5">
                  <c:v>1513</c:v>
                </c:pt>
                <c:pt idx="6">
                  <c:v>921</c:v>
                </c:pt>
                <c:pt idx="7">
                  <c:v>2518</c:v>
                </c:pt>
                <c:pt idx="8">
                  <c:v>1899</c:v>
                </c:pt>
                <c:pt idx="9">
                  <c:v>1545</c:v>
                </c:pt>
                <c:pt idx="10">
                  <c:v>2470</c:v>
                </c:pt>
                <c:pt idx="11">
                  <c:v>2665.5</c:v>
                </c:pt>
                <c:pt idx="12">
                  <c:v>958</c:v>
                </c:pt>
                <c:pt idx="13">
                  <c:v>2146</c:v>
                </c:pt>
                <c:pt idx="14">
                  <c:v>345</c:v>
                </c:pt>
                <c:pt idx="15">
                  <c:v>615</c:v>
                </c:pt>
                <c:pt idx="16">
                  <c:v>292</c:v>
                </c:pt>
                <c:pt idx="17">
                  <c:v>974</c:v>
                </c:pt>
                <c:pt idx="18">
                  <c:v>2518</c:v>
                </c:pt>
                <c:pt idx="19">
                  <c:v>1006</c:v>
                </c:pt>
                <c:pt idx="20">
                  <c:v>367</c:v>
                </c:pt>
                <c:pt idx="21">
                  <c:v>883</c:v>
                </c:pt>
                <c:pt idx="22">
                  <c:v>549</c:v>
                </c:pt>
                <c:pt idx="23">
                  <c:v>788</c:v>
                </c:pt>
                <c:pt idx="24">
                  <c:v>2472</c:v>
                </c:pt>
                <c:pt idx="25">
                  <c:v>1143</c:v>
                </c:pt>
                <c:pt idx="26">
                  <c:v>1725</c:v>
                </c:pt>
                <c:pt idx="27">
                  <c:v>912</c:v>
                </c:pt>
                <c:pt idx="28">
                  <c:v>2152</c:v>
                </c:pt>
                <c:pt idx="29">
                  <c:v>1817</c:v>
                </c:pt>
                <c:pt idx="30">
                  <c:v>1513</c:v>
                </c:pt>
                <c:pt idx="31">
                  <c:v>1493</c:v>
                </c:pt>
                <c:pt idx="32">
                  <c:v>1804</c:v>
                </c:pt>
                <c:pt idx="33">
                  <c:v>2161</c:v>
                </c:pt>
                <c:pt idx="34">
                  <c:v>1006</c:v>
                </c:pt>
                <c:pt idx="35">
                  <c:v>1545</c:v>
                </c:pt>
                <c:pt idx="36">
                  <c:v>2821</c:v>
                </c:pt>
                <c:pt idx="37">
                  <c:v>345</c:v>
                </c:pt>
                <c:pt idx="38">
                  <c:v>2001</c:v>
                </c:pt>
                <c:pt idx="39">
                  <c:v>2838</c:v>
                </c:pt>
                <c:pt idx="40">
                  <c:v>2178</c:v>
                </c:pt>
                <c:pt idx="41">
                  <c:v>888</c:v>
                </c:pt>
                <c:pt idx="42">
                  <c:v>1527</c:v>
                </c:pt>
                <c:pt idx="43">
                  <c:v>2151</c:v>
                </c:pt>
                <c:pt idx="44">
                  <c:v>1817</c:v>
                </c:pt>
                <c:pt idx="45">
                  <c:v>2750</c:v>
                </c:pt>
                <c:pt idx="46">
                  <c:v>1953</c:v>
                </c:pt>
                <c:pt idx="47">
                  <c:v>4219.5</c:v>
                </c:pt>
                <c:pt idx="48">
                  <c:v>1899</c:v>
                </c:pt>
                <c:pt idx="49">
                  <c:v>1686</c:v>
                </c:pt>
                <c:pt idx="50">
                  <c:v>2141</c:v>
                </c:pt>
                <c:pt idx="51">
                  <c:v>1143</c:v>
                </c:pt>
                <c:pt idx="52">
                  <c:v>615</c:v>
                </c:pt>
                <c:pt idx="53">
                  <c:v>3945</c:v>
                </c:pt>
                <c:pt idx="54">
                  <c:v>2296</c:v>
                </c:pt>
                <c:pt idx="55">
                  <c:v>1030</c:v>
                </c:pt>
                <c:pt idx="56">
                  <c:v>639</c:v>
                </c:pt>
                <c:pt idx="57">
                  <c:v>1326</c:v>
                </c:pt>
                <c:pt idx="58">
                  <c:v>1858</c:v>
                </c:pt>
                <c:pt idx="59">
                  <c:v>1210</c:v>
                </c:pt>
                <c:pt idx="60">
                  <c:v>2529</c:v>
                </c:pt>
                <c:pt idx="61">
                  <c:v>1445</c:v>
                </c:pt>
                <c:pt idx="62">
                  <c:v>330</c:v>
                </c:pt>
                <c:pt idx="63">
                  <c:v>2671</c:v>
                </c:pt>
                <c:pt idx="64">
                  <c:v>766</c:v>
                </c:pt>
                <c:pt idx="65">
                  <c:v>494</c:v>
                </c:pt>
                <c:pt idx="66">
                  <c:v>1397</c:v>
                </c:pt>
                <c:pt idx="67">
                  <c:v>2155</c:v>
                </c:pt>
                <c:pt idx="68">
                  <c:v>2214</c:v>
                </c:pt>
                <c:pt idx="69">
                  <c:v>2301</c:v>
                </c:pt>
                <c:pt idx="70">
                  <c:v>1375.5</c:v>
                </c:pt>
                <c:pt idx="71">
                  <c:v>1830</c:v>
                </c:pt>
                <c:pt idx="72">
                  <c:v>2498</c:v>
                </c:pt>
                <c:pt idx="73">
                  <c:v>663</c:v>
                </c:pt>
                <c:pt idx="74">
                  <c:v>1514</c:v>
                </c:pt>
                <c:pt idx="75">
                  <c:v>4492.5</c:v>
                </c:pt>
                <c:pt idx="76">
                  <c:v>727</c:v>
                </c:pt>
                <c:pt idx="77">
                  <c:v>787</c:v>
                </c:pt>
                <c:pt idx="78">
                  <c:v>1823</c:v>
                </c:pt>
                <c:pt idx="79">
                  <c:v>747</c:v>
                </c:pt>
                <c:pt idx="80">
                  <c:v>766</c:v>
                </c:pt>
                <c:pt idx="81">
                  <c:v>2905</c:v>
                </c:pt>
                <c:pt idx="82">
                  <c:v>2155</c:v>
                </c:pt>
                <c:pt idx="83">
                  <c:v>3864</c:v>
                </c:pt>
                <c:pt idx="84">
                  <c:v>362</c:v>
                </c:pt>
                <c:pt idx="85">
                  <c:v>923</c:v>
                </c:pt>
                <c:pt idx="86">
                  <c:v>663</c:v>
                </c:pt>
                <c:pt idx="87">
                  <c:v>2092</c:v>
                </c:pt>
                <c:pt idx="88">
                  <c:v>263</c:v>
                </c:pt>
                <c:pt idx="89">
                  <c:v>943.5</c:v>
                </c:pt>
                <c:pt idx="90">
                  <c:v>727</c:v>
                </c:pt>
                <c:pt idx="91">
                  <c:v>787</c:v>
                </c:pt>
                <c:pt idx="92">
                  <c:v>986</c:v>
                </c:pt>
                <c:pt idx="93">
                  <c:v>494</c:v>
                </c:pt>
                <c:pt idx="94">
                  <c:v>1397</c:v>
                </c:pt>
                <c:pt idx="95">
                  <c:v>1744</c:v>
                </c:pt>
                <c:pt idx="96">
                  <c:v>1989</c:v>
                </c:pt>
                <c:pt idx="97">
                  <c:v>321</c:v>
                </c:pt>
                <c:pt idx="98">
                  <c:v>742.5</c:v>
                </c:pt>
                <c:pt idx="99">
                  <c:v>1295</c:v>
                </c:pt>
                <c:pt idx="100">
                  <c:v>214</c:v>
                </c:pt>
                <c:pt idx="101">
                  <c:v>2145</c:v>
                </c:pt>
                <c:pt idx="102">
                  <c:v>2852</c:v>
                </c:pt>
                <c:pt idx="103">
                  <c:v>1142</c:v>
                </c:pt>
                <c:pt idx="104">
                  <c:v>1566</c:v>
                </c:pt>
                <c:pt idx="105">
                  <c:v>690</c:v>
                </c:pt>
                <c:pt idx="106">
                  <c:v>1660</c:v>
                </c:pt>
                <c:pt idx="107">
                  <c:v>2363</c:v>
                </c:pt>
                <c:pt idx="108">
                  <c:v>918</c:v>
                </c:pt>
                <c:pt idx="109">
                  <c:v>1728</c:v>
                </c:pt>
                <c:pt idx="110">
                  <c:v>1142</c:v>
                </c:pt>
                <c:pt idx="111">
                  <c:v>662</c:v>
                </c:pt>
                <c:pt idx="112">
                  <c:v>1295</c:v>
                </c:pt>
                <c:pt idx="113">
                  <c:v>809</c:v>
                </c:pt>
                <c:pt idx="114">
                  <c:v>2145</c:v>
                </c:pt>
                <c:pt idx="115">
                  <c:v>1785</c:v>
                </c:pt>
                <c:pt idx="116">
                  <c:v>1916</c:v>
                </c:pt>
                <c:pt idx="117">
                  <c:v>2852</c:v>
                </c:pt>
                <c:pt idx="118">
                  <c:v>2729</c:v>
                </c:pt>
                <c:pt idx="119">
                  <c:v>1925</c:v>
                </c:pt>
                <c:pt idx="120">
                  <c:v>2013</c:v>
                </c:pt>
                <c:pt idx="121">
                  <c:v>1055</c:v>
                </c:pt>
                <c:pt idx="122">
                  <c:v>1084</c:v>
                </c:pt>
                <c:pt idx="123">
                  <c:v>1566</c:v>
                </c:pt>
                <c:pt idx="124">
                  <c:v>2966</c:v>
                </c:pt>
                <c:pt idx="125">
                  <c:v>2877</c:v>
                </c:pt>
                <c:pt idx="126">
                  <c:v>809</c:v>
                </c:pt>
                <c:pt idx="127">
                  <c:v>2145</c:v>
                </c:pt>
                <c:pt idx="128">
                  <c:v>1055</c:v>
                </c:pt>
                <c:pt idx="129">
                  <c:v>544</c:v>
                </c:pt>
                <c:pt idx="130">
                  <c:v>1084</c:v>
                </c:pt>
                <c:pt idx="131">
                  <c:v>662</c:v>
                </c:pt>
                <c:pt idx="132">
                  <c:v>214</c:v>
                </c:pt>
                <c:pt idx="133">
                  <c:v>2877</c:v>
                </c:pt>
                <c:pt idx="134">
                  <c:v>2729</c:v>
                </c:pt>
                <c:pt idx="135">
                  <c:v>266</c:v>
                </c:pt>
                <c:pt idx="136">
                  <c:v>1940</c:v>
                </c:pt>
                <c:pt idx="137">
                  <c:v>259</c:v>
                </c:pt>
                <c:pt idx="138">
                  <c:v>1101</c:v>
                </c:pt>
                <c:pt idx="139">
                  <c:v>2276</c:v>
                </c:pt>
                <c:pt idx="140">
                  <c:v>2966</c:v>
                </c:pt>
                <c:pt idx="141">
                  <c:v>1236</c:v>
                </c:pt>
                <c:pt idx="142">
                  <c:v>941</c:v>
                </c:pt>
                <c:pt idx="143">
                  <c:v>1916</c:v>
                </c:pt>
                <c:pt idx="144">
                  <c:v>4243.5</c:v>
                </c:pt>
                <c:pt idx="145">
                  <c:v>2580</c:v>
                </c:pt>
                <c:pt idx="146">
                  <c:v>689</c:v>
                </c:pt>
                <c:pt idx="147">
                  <c:v>1947</c:v>
                </c:pt>
                <c:pt idx="148">
                  <c:v>908</c:v>
                </c:pt>
                <c:pt idx="149">
                  <c:v>1958</c:v>
                </c:pt>
                <c:pt idx="150">
                  <c:v>1901</c:v>
                </c:pt>
                <c:pt idx="151">
                  <c:v>544</c:v>
                </c:pt>
                <c:pt idx="152">
                  <c:v>1797</c:v>
                </c:pt>
                <c:pt idx="153">
                  <c:v>1287</c:v>
                </c:pt>
                <c:pt idx="154">
                  <c:v>1706</c:v>
                </c:pt>
                <c:pt idx="155">
                  <c:v>2434.5</c:v>
                </c:pt>
                <c:pt idx="156">
                  <c:v>1774</c:v>
                </c:pt>
                <c:pt idx="157">
                  <c:v>1901</c:v>
                </c:pt>
                <c:pt idx="158">
                  <c:v>689</c:v>
                </c:pt>
                <c:pt idx="159">
                  <c:v>1570</c:v>
                </c:pt>
                <c:pt idx="160">
                  <c:v>1369.5</c:v>
                </c:pt>
                <c:pt idx="161">
                  <c:v>2009</c:v>
                </c:pt>
                <c:pt idx="162">
                  <c:v>1945</c:v>
                </c:pt>
                <c:pt idx="163">
                  <c:v>1287</c:v>
                </c:pt>
                <c:pt idx="164">
                  <c:v>1706</c:v>
                </c:pt>
                <c:pt idx="165">
                  <c:v>2009</c:v>
                </c:pt>
                <c:pt idx="166">
                  <c:v>2844</c:v>
                </c:pt>
                <c:pt idx="167">
                  <c:v>1916</c:v>
                </c:pt>
                <c:pt idx="168">
                  <c:v>1570</c:v>
                </c:pt>
                <c:pt idx="169">
                  <c:v>1874</c:v>
                </c:pt>
                <c:pt idx="170">
                  <c:v>1642</c:v>
                </c:pt>
                <c:pt idx="171">
                  <c:v>1945</c:v>
                </c:pt>
                <c:pt idx="172">
                  <c:v>831</c:v>
                </c:pt>
                <c:pt idx="173">
                  <c:v>1760</c:v>
                </c:pt>
                <c:pt idx="174">
                  <c:v>3850.5</c:v>
                </c:pt>
                <c:pt idx="175">
                  <c:v>2479</c:v>
                </c:pt>
                <c:pt idx="176">
                  <c:v>2031</c:v>
                </c:pt>
                <c:pt idx="177">
                  <c:v>2031</c:v>
                </c:pt>
                <c:pt idx="178">
                  <c:v>2261</c:v>
                </c:pt>
                <c:pt idx="179">
                  <c:v>736</c:v>
                </c:pt>
                <c:pt idx="180">
                  <c:v>2851</c:v>
                </c:pt>
                <c:pt idx="181">
                  <c:v>2021</c:v>
                </c:pt>
                <c:pt idx="182">
                  <c:v>274</c:v>
                </c:pt>
                <c:pt idx="183">
                  <c:v>1967</c:v>
                </c:pt>
                <c:pt idx="184">
                  <c:v>1859</c:v>
                </c:pt>
                <c:pt idx="185">
                  <c:v>2851</c:v>
                </c:pt>
                <c:pt idx="186">
                  <c:v>2021</c:v>
                </c:pt>
                <c:pt idx="187">
                  <c:v>1138</c:v>
                </c:pt>
                <c:pt idx="188">
                  <c:v>4251</c:v>
                </c:pt>
                <c:pt idx="189">
                  <c:v>795</c:v>
                </c:pt>
                <c:pt idx="190">
                  <c:v>1414.5</c:v>
                </c:pt>
                <c:pt idx="191">
                  <c:v>2918</c:v>
                </c:pt>
                <c:pt idx="192">
                  <c:v>3450</c:v>
                </c:pt>
                <c:pt idx="193">
                  <c:v>2988</c:v>
                </c:pt>
                <c:pt idx="194">
                  <c:v>218</c:v>
                </c:pt>
                <c:pt idx="195">
                  <c:v>2074</c:v>
                </c:pt>
                <c:pt idx="196">
                  <c:v>1056</c:v>
                </c:pt>
                <c:pt idx="197">
                  <c:v>671</c:v>
                </c:pt>
                <c:pt idx="198">
                  <c:v>1514</c:v>
                </c:pt>
                <c:pt idx="199">
                  <c:v>274</c:v>
                </c:pt>
                <c:pt idx="200">
                  <c:v>1138</c:v>
                </c:pt>
                <c:pt idx="201">
                  <c:v>1465</c:v>
                </c:pt>
                <c:pt idx="202">
                  <c:v>2646</c:v>
                </c:pt>
                <c:pt idx="203">
                  <c:v>2177</c:v>
                </c:pt>
                <c:pt idx="204">
                  <c:v>866</c:v>
                </c:pt>
                <c:pt idx="205">
                  <c:v>349</c:v>
                </c:pt>
                <c:pt idx="206">
                  <c:v>2177</c:v>
                </c:pt>
                <c:pt idx="207">
                  <c:v>1514</c:v>
                </c:pt>
                <c:pt idx="208">
                  <c:v>1865</c:v>
                </c:pt>
                <c:pt idx="209">
                  <c:v>1074</c:v>
                </c:pt>
                <c:pt idx="210">
                  <c:v>1907</c:v>
                </c:pt>
                <c:pt idx="211">
                  <c:v>671</c:v>
                </c:pt>
                <c:pt idx="212">
                  <c:v>1778</c:v>
                </c:pt>
                <c:pt idx="213">
                  <c:v>1159</c:v>
                </c:pt>
                <c:pt idx="214">
                  <c:v>1372</c:v>
                </c:pt>
                <c:pt idx="215">
                  <c:v>2349</c:v>
                </c:pt>
                <c:pt idx="216">
                  <c:v>2689</c:v>
                </c:pt>
                <c:pt idx="217">
                  <c:v>2431</c:v>
                </c:pt>
                <c:pt idx="218">
                  <c:v>2431</c:v>
                </c:pt>
                <c:pt idx="219">
                  <c:v>2689</c:v>
                </c:pt>
                <c:pt idx="220">
                  <c:v>1683</c:v>
                </c:pt>
                <c:pt idx="221">
                  <c:v>1123</c:v>
                </c:pt>
                <c:pt idx="222">
                  <c:v>1159</c:v>
                </c:pt>
                <c:pt idx="223">
                  <c:v>1865</c:v>
                </c:pt>
                <c:pt idx="224">
                  <c:v>1116</c:v>
                </c:pt>
                <c:pt idx="225">
                  <c:v>1563</c:v>
                </c:pt>
                <c:pt idx="226">
                  <c:v>991</c:v>
                </c:pt>
                <c:pt idx="227">
                  <c:v>1016</c:v>
                </c:pt>
                <c:pt idx="228">
                  <c:v>2791</c:v>
                </c:pt>
                <c:pt idx="229">
                  <c:v>570</c:v>
                </c:pt>
                <c:pt idx="230">
                  <c:v>2487</c:v>
                </c:pt>
                <c:pt idx="231">
                  <c:v>1384.5</c:v>
                </c:pt>
                <c:pt idx="232">
                  <c:v>3627</c:v>
                </c:pt>
                <c:pt idx="233">
                  <c:v>720</c:v>
                </c:pt>
                <c:pt idx="234">
                  <c:v>2342</c:v>
                </c:pt>
                <c:pt idx="235">
                  <c:v>1100</c:v>
                </c:pt>
                <c:pt idx="236">
                  <c:v>1303</c:v>
                </c:pt>
                <c:pt idx="237">
                  <c:v>2992</c:v>
                </c:pt>
                <c:pt idx="238">
                  <c:v>2385</c:v>
                </c:pt>
                <c:pt idx="239">
                  <c:v>1607</c:v>
                </c:pt>
                <c:pt idx="240">
                  <c:v>2327</c:v>
                </c:pt>
                <c:pt idx="241">
                  <c:v>991</c:v>
                </c:pt>
                <c:pt idx="242">
                  <c:v>602</c:v>
                </c:pt>
                <c:pt idx="243">
                  <c:v>2620</c:v>
                </c:pt>
                <c:pt idx="244">
                  <c:v>1228</c:v>
                </c:pt>
                <c:pt idx="245">
                  <c:v>1389</c:v>
                </c:pt>
                <c:pt idx="246">
                  <c:v>861</c:v>
                </c:pt>
                <c:pt idx="247">
                  <c:v>704</c:v>
                </c:pt>
                <c:pt idx="248">
                  <c:v>1802</c:v>
                </c:pt>
                <c:pt idx="249">
                  <c:v>2663</c:v>
                </c:pt>
                <c:pt idx="250">
                  <c:v>2136</c:v>
                </c:pt>
                <c:pt idx="251">
                  <c:v>2116</c:v>
                </c:pt>
                <c:pt idx="252">
                  <c:v>555</c:v>
                </c:pt>
                <c:pt idx="253">
                  <c:v>2861</c:v>
                </c:pt>
                <c:pt idx="254">
                  <c:v>807</c:v>
                </c:pt>
                <c:pt idx="255">
                  <c:v>602</c:v>
                </c:pt>
                <c:pt idx="256">
                  <c:v>2832</c:v>
                </c:pt>
                <c:pt idx="257">
                  <c:v>1579</c:v>
                </c:pt>
                <c:pt idx="258">
                  <c:v>861</c:v>
                </c:pt>
                <c:pt idx="259">
                  <c:v>704</c:v>
                </c:pt>
                <c:pt idx="260">
                  <c:v>1033</c:v>
                </c:pt>
                <c:pt idx="261">
                  <c:v>1250</c:v>
                </c:pt>
                <c:pt idx="262">
                  <c:v>1389</c:v>
                </c:pt>
                <c:pt idx="263">
                  <c:v>1265</c:v>
                </c:pt>
                <c:pt idx="264">
                  <c:v>2297</c:v>
                </c:pt>
                <c:pt idx="265">
                  <c:v>2663</c:v>
                </c:pt>
                <c:pt idx="266">
                  <c:v>570</c:v>
                </c:pt>
                <c:pt idx="267">
                  <c:v>2487</c:v>
                </c:pt>
                <c:pt idx="268">
                  <c:v>1350</c:v>
                </c:pt>
                <c:pt idx="269">
                  <c:v>552</c:v>
                </c:pt>
                <c:pt idx="270">
                  <c:v>1228</c:v>
                </c:pt>
                <c:pt idx="271">
                  <c:v>1250</c:v>
                </c:pt>
                <c:pt idx="272">
                  <c:v>3801</c:v>
                </c:pt>
                <c:pt idx="273">
                  <c:v>1117.5</c:v>
                </c:pt>
                <c:pt idx="274">
                  <c:v>2844</c:v>
                </c:pt>
                <c:pt idx="275">
                  <c:v>562</c:v>
                </c:pt>
                <c:pt idx="276">
                  <c:v>2299</c:v>
                </c:pt>
                <c:pt idx="277">
                  <c:v>2030</c:v>
                </c:pt>
                <c:pt idx="278">
                  <c:v>263</c:v>
                </c:pt>
                <c:pt idx="279">
                  <c:v>887</c:v>
                </c:pt>
                <c:pt idx="280">
                  <c:v>980</c:v>
                </c:pt>
                <c:pt idx="281">
                  <c:v>1460</c:v>
                </c:pt>
                <c:pt idx="282">
                  <c:v>1403</c:v>
                </c:pt>
                <c:pt idx="283">
                  <c:v>2723</c:v>
                </c:pt>
                <c:pt idx="284">
                  <c:v>1496</c:v>
                </c:pt>
                <c:pt idx="285">
                  <c:v>2299</c:v>
                </c:pt>
                <c:pt idx="286">
                  <c:v>727</c:v>
                </c:pt>
                <c:pt idx="287">
                  <c:v>952</c:v>
                </c:pt>
                <c:pt idx="288">
                  <c:v>2755</c:v>
                </c:pt>
                <c:pt idx="289">
                  <c:v>1530</c:v>
                </c:pt>
                <c:pt idx="290">
                  <c:v>1496</c:v>
                </c:pt>
                <c:pt idx="291">
                  <c:v>1498</c:v>
                </c:pt>
                <c:pt idx="292">
                  <c:v>1221</c:v>
                </c:pt>
                <c:pt idx="293">
                  <c:v>2076</c:v>
                </c:pt>
                <c:pt idx="294">
                  <c:v>2844</c:v>
                </c:pt>
                <c:pt idx="295">
                  <c:v>1498</c:v>
                </c:pt>
                <c:pt idx="296">
                  <c:v>1221</c:v>
                </c:pt>
                <c:pt idx="297">
                  <c:v>1123</c:v>
                </c:pt>
                <c:pt idx="298">
                  <c:v>2436</c:v>
                </c:pt>
                <c:pt idx="299">
                  <c:v>1987.5</c:v>
                </c:pt>
                <c:pt idx="300">
                  <c:v>1679</c:v>
                </c:pt>
                <c:pt idx="301">
                  <c:v>727</c:v>
                </c:pt>
                <c:pt idx="302">
                  <c:v>1403</c:v>
                </c:pt>
                <c:pt idx="303">
                  <c:v>2076</c:v>
                </c:pt>
                <c:pt idx="304">
                  <c:v>1757</c:v>
                </c:pt>
                <c:pt idx="305">
                  <c:v>2198</c:v>
                </c:pt>
                <c:pt idx="306">
                  <c:v>1743</c:v>
                </c:pt>
                <c:pt idx="307">
                  <c:v>1153</c:v>
                </c:pt>
                <c:pt idx="308">
                  <c:v>1757</c:v>
                </c:pt>
                <c:pt idx="309">
                  <c:v>1001</c:v>
                </c:pt>
                <c:pt idx="310">
                  <c:v>1333</c:v>
                </c:pt>
                <c:pt idx="311">
                  <c:v>1153</c:v>
                </c:pt>
                <c:pt idx="312">
                  <c:v>727</c:v>
                </c:pt>
                <c:pt idx="313">
                  <c:v>1884</c:v>
                </c:pt>
                <c:pt idx="314">
                  <c:v>1834</c:v>
                </c:pt>
                <c:pt idx="315">
                  <c:v>2340</c:v>
                </c:pt>
                <c:pt idx="316">
                  <c:v>2342</c:v>
                </c:pt>
                <c:pt idx="317">
                  <c:v>1031</c:v>
                </c:pt>
                <c:pt idx="318">
                  <c:v>1262</c:v>
                </c:pt>
                <c:pt idx="319">
                  <c:v>1135</c:v>
                </c:pt>
                <c:pt idx="320">
                  <c:v>547</c:v>
                </c:pt>
                <c:pt idx="321">
                  <c:v>1582</c:v>
                </c:pt>
                <c:pt idx="322">
                  <c:v>1738.5</c:v>
                </c:pt>
                <c:pt idx="323">
                  <c:v>2215</c:v>
                </c:pt>
                <c:pt idx="324">
                  <c:v>1582</c:v>
                </c:pt>
                <c:pt idx="325">
                  <c:v>1135</c:v>
                </c:pt>
                <c:pt idx="326">
                  <c:v>1761</c:v>
                </c:pt>
                <c:pt idx="327">
                  <c:v>448</c:v>
                </c:pt>
                <c:pt idx="328">
                  <c:v>2181</c:v>
                </c:pt>
                <c:pt idx="329">
                  <c:v>1976</c:v>
                </c:pt>
                <c:pt idx="330">
                  <c:v>2181</c:v>
                </c:pt>
                <c:pt idx="331">
                  <c:v>2500</c:v>
                </c:pt>
                <c:pt idx="332">
                  <c:v>1702</c:v>
                </c:pt>
                <c:pt idx="333">
                  <c:v>448</c:v>
                </c:pt>
                <c:pt idx="334">
                  <c:v>3513</c:v>
                </c:pt>
                <c:pt idx="335">
                  <c:v>2101</c:v>
                </c:pt>
                <c:pt idx="336">
                  <c:v>2931</c:v>
                </c:pt>
                <c:pt idx="337">
                  <c:v>1535</c:v>
                </c:pt>
                <c:pt idx="338">
                  <c:v>1123</c:v>
                </c:pt>
                <c:pt idx="339">
                  <c:v>1404</c:v>
                </c:pt>
                <c:pt idx="340">
                  <c:v>2763</c:v>
                </c:pt>
                <c:pt idx="341">
                  <c:v>2125</c:v>
                </c:pt>
                <c:pt idx="342">
                  <c:v>1659</c:v>
                </c:pt>
                <c:pt idx="343">
                  <c:v>609</c:v>
                </c:pt>
                <c:pt idx="344">
                  <c:v>2087</c:v>
                </c:pt>
                <c:pt idx="345">
                  <c:v>1976</c:v>
                </c:pt>
                <c:pt idx="346">
                  <c:v>1421</c:v>
                </c:pt>
                <c:pt idx="347">
                  <c:v>1372</c:v>
                </c:pt>
                <c:pt idx="348">
                  <c:v>588</c:v>
                </c:pt>
                <c:pt idx="349">
                  <c:v>3244.5</c:v>
                </c:pt>
                <c:pt idx="350">
                  <c:v>959</c:v>
                </c:pt>
                <c:pt idx="351">
                  <c:v>2747</c:v>
                </c:pt>
                <c:pt idx="352">
                  <c:v>1645</c:v>
                </c:pt>
                <c:pt idx="353">
                  <c:v>2876</c:v>
                </c:pt>
                <c:pt idx="354">
                  <c:v>994</c:v>
                </c:pt>
                <c:pt idx="355">
                  <c:v>1118</c:v>
                </c:pt>
                <c:pt idx="356">
                  <c:v>1372</c:v>
                </c:pt>
                <c:pt idx="357">
                  <c:v>488</c:v>
                </c:pt>
                <c:pt idx="358">
                  <c:v>1282</c:v>
                </c:pt>
                <c:pt idx="359">
                  <c:v>257</c:v>
                </c:pt>
                <c:pt idx="360">
                  <c:v>1282</c:v>
                </c:pt>
                <c:pt idx="361">
                  <c:v>1540</c:v>
                </c:pt>
                <c:pt idx="362">
                  <c:v>490</c:v>
                </c:pt>
                <c:pt idx="363">
                  <c:v>1362</c:v>
                </c:pt>
                <c:pt idx="364">
                  <c:v>2501</c:v>
                </c:pt>
                <c:pt idx="365">
                  <c:v>708</c:v>
                </c:pt>
                <c:pt idx="366">
                  <c:v>645</c:v>
                </c:pt>
                <c:pt idx="367">
                  <c:v>1562</c:v>
                </c:pt>
                <c:pt idx="368">
                  <c:v>1283</c:v>
                </c:pt>
                <c:pt idx="369">
                  <c:v>711</c:v>
                </c:pt>
                <c:pt idx="370">
                  <c:v>1114</c:v>
                </c:pt>
                <c:pt idx="371">
                  <c:v>1259</c:v>
                </c:pt>
                <c:pt idx="372">
                  <c:v>1095</c:v>
                </c:pt>
                <c:pt idx="373">
                  <c:v>1366</c:v>
                </c:pt>
                <c:pt idx="374">
                  <c:v>2460</c:v>
                </c:pt>
                <c:pt idx="375">
                  <c:v>678</c:v>
                </c:pt>
                <c:pt idx="376">
                  <c:v>1598</c:v>
                </c:pt>
                <c:pt idx="377">
                  <c:v>2409</c:v>
                </c:pt>
                <c:pt idx="378">
                  <c:v>1934</c:v>
                </c:pt>
                <c:pt idx="379">
                  <c:v>2993</c:v>
                </c:pt>
                <c:pt idx="380">
                  <c:v>2146</c:v>
                </c:pt>
                <c:pt idx="381">
                  <c:v>1946</c:v>
                </c:pt>
                <c:pt idx="382">
                  <c:v>1362</c:v>
                </c:pt>
                <c:pt idx="383">
                  <c:v>598</c:v>
                </c:pt>
                <c:pt idx="384">
                  <c:v>2907</c:v>
                </c:pt>
                <c:pt idx="385">
                  <c:v>2338</c:v>
                </c:pt>
                <c:pt idx="386">
                  <c:v>386</c:v>
                </c:pt>
                <c:pt idx="387">
                  <c:v>635</c:v>
                </c:pt>
                <c:pt idx="388">
                  <c:v>574.5</c:v>
                </c:pt>
                <c:pt idx="389">
                  <c:v>2338</c:v>
                </c:pt>
                <c:pt idx="390">
                  <c:v>381</c:v>
                </c:pt>
                <c:pt idx="391">
                  <c:v>422</c:v>
                </c:pt>
                <c:pt idx="392">
                  <c:v>2134</c:v>
                </c:pt>
                <c:pt idx="393">
                  <c:v>808</c:v>
                </c:pt>
                <c:pt idx="394">
                  <c:v>708</c:v>
                </c:pt>
                <c:pt idx="395">
                  <c:v>2907</c:v>
                </c:pt>
                <c:pt idx="396">
                  <c:v>1366</c:v>
                </c:pt>
                <c:pt idx="397">
                  <c:v>2460</c:v>
                </c:pt>
                <c:pt idx="398">
                  <c:v>1520</c:v>
                </c:pt>
                <c:pt idx="399">
                  <c:v>711</c:v>
                </c:pt>
                <c:pt idx="400">
                  <c:v>1375</c:v>
                </c:pt>
                <c:pt idx="401">
                  <c:v>635</c:v>
                </c:pt>
                <c:pt idx="402">
                  <c:v>436.5</c:v>
                </c:pt>
                <c:pt idx="403">
                  <c:v>1094</c:v>
                </c:pt>
                <c:pt idx="404">
                  <c:v>367</c:v>
                </c:pt>
                <c:pt idx="405">
                  <c:v>3802.5</c:v>
                </c:pt>
                <c:pt idx="406">
                  <c:v>1666</c:v>
                </c:pt>
                <c:pt idx="407">
                  <c:v>322</c:v>
                </c:pt>
                <c:pt idx="408">
                  <c:v>2321</c:v>
                </c:pt>
                <c:pt idx="409">
                  <c:v>1857</c:v>
                </c:pt>
                <c:pt idx="410">
                  <c:v>1611</c:v>
                </c:pt>
                <c:pt idx="411">
                  <c:v>2797</c:v>
                </c:pt>
                <c:pt idx="412">
                  <c:v>334</c:v>
                </c:pt>
                <c:pt idx="413">
                  <c:v>2565</c:v>
                </c:pt>
                <c:pt idx="414">
                  <c:v>2417</c:v>
                </c:pt>
                <c:pt idx="415">
                  <c:v>3675</c:v>
                </c:pt>
                <c:pt idx="416">
                  <c:v>1094</c:v>
                </c:pt>
                <c:pt idx="417">
                  <c:v>1227</c:v>
                </c:pt>
                <c:pt idx="418">
                  <c:v>367</c:v>
                </c:pt>
                <c:pt idx="419">
                  <c:v>1324</c:v>
                </c:pt>
                <c:pt idx="420">
                  <c:v>1775</c:v>
                </c:pt>
                <c:pt idx="421">
                  <c:v>2797</c:v>
                </c:pt>
                <c:pt idx="422">
                  <c:v>245</c:v>
                </c:pt>
                <c:pt idx="423">
                  <c:v>3793.5</c:v>
                </c:pt>
                <c:pt idx="424">
                  <c:v>1307</c:v>
                </c:pt>
                <c:pt idx="425">
                  <c:v>567</c:v>
                </c:pt>
                <c:pt idx="426">
                  <c:v>2110</c:v>
                </c:pt>
                <c:pt idx="427">
                  <c:v>1269</c:v>
                </c:pt>
                <c:pt idx="428">
                  <c:v>1956</c:v>
                </c:pt>
                <c:pt idx="429">
                  <c:v>2659</c:v>
                </c:pt>
                <c:pt idx="430">
                  <c:v>1351.5</c:v>
                </c:pt>
                <c:pt idx="431">
                  <c:v>880</c:v>
                </c:pt>
                <c:pt idx="432">
                  <c:v>1867</c:v>
                </c:pt>
                <c:pt idx="433">
                  <c:v>2234</c:v>
                </c:pt>
                <c:pt idx="434">
                  <c:v>1227</c:v>
                </c:pt>
                <c:pt idx="435">
                  <c:v>877</c:v>
                </c:pt>
                <c:pt idx="436">
                  <c:v>2071</c:v>
                </c:pt>
                <c:pt idx="437">
                  <c:v>1269</c:v>
                </c:pt>
                <c:pt idx="438">
                  <c:v>970</c:v>
                </c:pt>
                <c:pt idx="439">
                  <c:v>1694</c:v>
                </c:pt>
                <c:pt idx="440">
                  <c:v>663</c:v>
                </c:pt>
                <c:pt idx="441">
                  <c:v>819</c:v>
                </c:pt>
                <c:pt idx="442">
                  <c:v>1580</c:v>
                </c:pt>
                <c:pt idx="443">
                  <c:v>521</c:v>
                </c:pt>
                <c:pt idx="444">
                  <c:v>973</c:v>
                </c:pt>
                <c:pt idx="445">
                  <c:v>1038</c:v>
                </c:pt>
                <c:pt idx="446">
                  <c:v>360</c:v>
                </c:pt>
                <c:pt idx="447">
                  <c:v>1967</c:v>
                </c:pt>
                <c:pt idx="448">
                  <c:v>2628</c:v>
                </c:pt>
                <c:pt idx="449">
                  <c:v>360</c:v>
                </c:pt>
                <c:pt idx="450">
                  <c:v>2682</c:v>
                </c:pt>
                <c:pt idx="451">
                  <c:v>521</c:v>
                </c:pt>
                <c:pt idx="452">
                  <c:v>1038</c:v>
                </c:pt>
                <c:pt idx="453">
                  <c:v>1630.5</c:v>
                </c:pt>
                <c:pt idx="454">
                  <c:v>306</c:v>
                </c:pt>
                <c:pt idx="455">
                  <c:v>386</c:v>
                </c:pt>
                <c:pt idx="456">
                  <c:v>2328</c:v>
                </c:pt>
                <c:pt idx="457">
                  <c:v>386</c:v>
                </c:pt>
                <c:pt idx="458">
                  <c:v>3445.5</c:v>
                </c:pt>
                <c:pt idx="459">
                  <c:v>1482</c:v>
                </c:pt>
                <c:pt idx="460">
                  <c:v>2313</c:v>
                </c:pt>
                <c:pt idx="461">
                  <c:v>1804</c:v>
                </c:pt>
                <c:pt idx="462">
                  <c:v>2072</c:v>
                </c:pt>
                <c:pt idx="463">
                  <c:v>1954</c:v>
                </c:pt>
                <c:pt idx="464">
                  <c:v>591</c:v>
                </c:pt>
                <c:pt idx="465">
                  <c:v>2167</c:v>
                </c:pt>
                <c:pt idx="466">
                  <c:v>241</c:v>
                </c:pt>
                <c:pt idx="467">
                  <c:v>681</c:v>
                </c:pt>
                <c:pt idx="468">
                  <c:v>510</c:v>
                </c:pt>
                <c:pt idx="469">
                  <c:v>790</c:v>
                </c:pt>
                <c:pt idx="470">
                  <c:v>639</c:v>
                </c:pt>
                <c:pt idx="471">
                  <c:v>1596</c:v>
                </c:pt>
                <c:pt idx="472">
                  <c:v>2294</c:v>
                </c:pt>
                <c:pt idx="473">
                  <c:v>241</c:v>
                </c:pt>
                <c:pt idx="474">
                  <c:v>2665</c:v>
                </c:pt>
                <c:pt idx="475">
                  <c:v>1916</c:v>
                </c:pt>
                <c:pt idx="476">
                  <c:v>853</c:v>
                </c:pt>
                <c:pt idx="477">
                  <c:v>341</c:v>
                </c:pt>
                <c:pt idx="478">
                  <c:v>641</c:v>
                </c:pt>
                <c:pt idx="479">
                  <c:v>2807</c:v>
                </c:pt>
                <c:pt idx="480">
                  <c:v>432</c:v>
                </c:pt>
                <c:pt idx="481">
                  <c:v>2294</c:v>
                </c:pt>
                <c:pt idx="482">
                  <c:v>2167</c:v>
                </c:pt>
                <c:pt idx="483">
                  <c:v>2529</c:v>
                </c:pt>
                <c:pt idx="484">
                  <c:v>1870</c:v>
                </c:pt>
                <c:pt idx="485">
                  <c:v>579</c:v>
                </c:pt>
                <c:pt idx="486">
                  <c:v>2240</c:v>
                </c:pt>
                <c:pt idx="487">
                  <c:v>2993</c:v>
                </c:pt>
                <c:pt idx="488">
                  <c:v>3520.5</c:v>
                </c:pt>
                <c:pt idx="489">
                  <c:v>2039</c:v>
                </c:pt>
                <c:pt idx="490">
                  <c:v>2574</c:v>
                </c:pt>
                <c:pt idx="491">
                  <c:v>707</c:v>
                </c:pt>
                <c:pt idx="492">
                  <c:v>2072</c:v>
                </c:pt>
                <c:pt idx="493">
                  <c:v>853</c:v>
                </c:pt>
                <c:pt idx="494">
                  <c:v>1198</c:v>
                </c:pt>
                <c:pt idx="495">
                  <c:v>2532</c:v>
                </c:pt>
                <c:pt idx="496">
                  <c:v>1198</c:v>
                </c:pt>
                <c:pt idx="497">
                  <c:v>384</c:v>
                </c:pt>
                <c:pt idx="498">
                  <c:v>472</c:v>
                </c:pt>
                <c:pt idx="499">
                  <c:v>1579</c:v>
                </c:pt>
                <c:pt idx="500">
                  <c:v>1005</c:v>
                </c:pt>
                <c:pt idx="501">
                  <c:v>3199.5</c:v>
                </c:pt>
                <c:pt idx="502">
                  <c:v>472</c:v>
                </c:pt>
                <c:pt idx="503">
                  <c:v>1937</c:v>
                </c:pt>
                <c:pt idx="504">
                  <c:v>792</c:v>
                </c:pt>
                <c:pt idx="505">
                  <c:v>2811</c:v>
                </c:pt>
                <c:pt idx="506">
                  <c:v>2441</c:v>
                </c:pt>
                <c:pt idx="507">
                  <c:v>1560</c:v>
                </c:pt>
                <c:pt idx="508">
                  <c:v>2706</c:v>
                </c:pt>
                <c:pt idx="509">
                  <c:v>766</c:v>
                </c:pt>
                <c:pt idx="510">
                  <c:v>2992</c:v>
                </c:pt>
                <c:pt idx="511">
                  <c:v>2157</c:v>
                </c:pt>
                <c:pt idx="512">
                  <c:v>873</c:v>
                </c:pt>
                <c:pt idx="513">
                  <c:v>1122</c:v>
                </c:pt>
                <c:pt idx="514">
                  <c:v>2104.5</c:v>
                </c:pt>
                <c:pt idx="515">
                  <c:v>4026</c:v>
                </c:pt>
                <c:pt idx="516">
                  <c:v>2425.5</c:v>
                </c:pt>
                <c:pt idx="517">
                  <c:v>2394</c:v>
                </c:pt>
                <c:pt idx="518">
                  <c:v>1984</c:v>
                </c:pt>
                <c:pt idx="519">
                  <c:v>2441</c:v>
                </c:pt>
                <c:pt idx="520">
                  <c:v>2992</c:v>
                </c:pt>
                <c:pt idx="521">
                  <c:v>1366</c:v>
                </c:pt>
                <c:pt idx="522">
                  <c:v>2805</c:v>
                </c:pt>
                <c:pt idx="523">
                  <c:v>655</c:v>
                </c:pt>
                <c:pt idx="524">
                  <c:v>344</c:v>
                </c:pt>
                <c:pt idx="525">
                  <c:v>1808</c:v>
                </c:pt>
                <c:pt idx="526">
                  <c:v>1734</c:v>
                </c:pt>
                <c:pt idx="527">
                  <c:v>554</c:v>
                </c:pt>
                <c:pt idx="528">
                  <c:v>2935</c:v>
                </c:pt>
                <c:pt idx="529">
                  <c:v>3165</c:v>
                </c:pt>
                <c:pt idx="530">
                  <c:v>2629</c:v>
                </c:pt>
                <c:pt idx="531">
                  <c:v>1433</c:v>
                </c:pt>
                <c:pt idx="532">
                  <c:v>947</c:v>
                </c:pt>
                <c:pt idx="533">
                  <c:v>344</c:v>
                </c:pt>
                <c:pt idx="534">
                  <c:v>2157</c:v>
                </c:pt>
                <c:pt idx="535">
                  <c:v>380</c:v>
                </c:pt>
                <c:pt idx="536">
                  <c:v>886</c:v>
                </c:pt>
                <c:pt idx="537">
                  <c:v>2416</c:v>
                </c:pt>
                <c:pt idx="538">
                  <c:v>2156</c:v>
                </c:pt>
                <c:pt idx="539">
                  <c:v>2689</c:v>
                </c:pt>
                <c:pt idx="540">
                  <c:v>677</c:v>
                </c:pt>
                <c:pt idx="541">
                  <c:v>1773</c:v>
                </c:pt>
                <c:pt idx="542">
                  <c:v>2420</c:v>
                </c:pt>
                <c:pt idx="543">
                  <c:v>2734</c:v>
                </c:pt>
                <c:pt idx="544">
                  <c:v>1715</c:v>
                </c:pt>
                <c:pt idx="545">
                  <c:v>1186</c:v>
                </c:pt>
                <c:pt idx="546">
                  <c:v>3495</c:v>
                </c:pt>
                <c:pt idx="547">
                  <c:v>886</c:v>
                </c:pt>
                <c:pt idx="548">
                  <c:v>2156</c:v>
                </c:pt>
                <c:pt idx="549">
                  <c:v>905</c:v>
                </c:pt>
                <c:pt idx="550">
                  <c:v>1715</c:v>
                </c:pt>
                <c:pt idx="551">
                  <c:v>1594</c:v>
                </c:pt>
                <c:pt idx="552">
                  <c:v>1359</c:v>
                </c:pt>
                <c:pt idx="553">
                  <c:v>2150</c:v>
                </c:pt>
                <c:pt idx="554">
                  <c:v>1197</c:v>
                </c:pt>
                <c:pt idx="555">
                  <c:v>380</c:v>
                </c:pt>
                <c:pt idx="556">
                  <c:v>1233</c:v>
                </c:pt>
                <c:pt idx="557">
                  <c:v>1395</c:v>
                </c:pt>
                <c:pt idx="558">
                  <c:v>986</c:v>
                </c:pt>
                <c:pt idx="559">
                  <c:v>905</c:v>
                </c:pt>
                <c:pt idx="560">
                  <c:v>2109</c:v>
                </c:pt>
                <c:pt idx="561">
                  <c:v>3874.5</c:v>
                </c:pt>
                <c:pt idx="562">
                  <c:v>623</c:v>
                </c:pt>
                <c:pt idx="563">
                  <c:v>986</c:v>
                </c:pt>
                <c:pt idx="564">
                  <c:v>2387</c:v>
                </c:pt>
                <c:pt idx="565">
                  <c:v>1233</c:v>
                </c:pt>
                <c:pt idx="566">
                  <c:v>270</c:v>
                </c:pt>
                <c:pt idx="567">
                  <c:v>3421.5</c:v>
                </c:pt>
                <c:pt idx="568">
                  <c:v>2734</c:v>
                </c:pt>
                <c:pt idx="569">
                  <c:v>2548</c:v>
                </c:pt>
                <c:pt idx="570">
                  <c:v>2521.5</c:v>
                </c:pt>
                <c:pt idx="571">
                  <c:v>2661</c:v>
                </c:pt>
                <c:pt idx="572">
                  <c:v>1531</c:v>
                </c:pt>
                <c:pt idx="573">
                  <c:v>1491</c:v>
                </c:pt>
                <c:pt idx="574">
                  <c:v>1531</c:v>
                </c:pt>
                <c:pt idx="575">
                  <c:v>2761</c:v>
                </c:pt>
                <c:pt idx="576">
                  <c:v>2567</c:v>
                </c:pt>
                <c:pt idx="577">
                  <c:v>2567</c:v>
                </c:pt>
                <c:pt idx="578">
                  <c:v>923</c:v>
                </c:pt>
                <c:pt idx="579">
                  <c:v>1790</c:v>
                </c:pt>
                <c:pt idx="580">
                  <c:v>442</c:v>
                </c:pt>
                <c:pt idx="581">
                  <c:v>982.5</c:v>
                </c:pt>
                <c:pt idx="582">
                  <c:v>1298</c:v>
                </c:pt>
                <c:pt idx="583">
                  <c:v>604</c:v>
                </c:pt>
                <c:pt idx="584">
                  <c:v>2255</c:v>
                </c:pt>
                <c:pt idx="585">
                  <c:v>1249</c:v>
                </c:pt>
                <c:pt idx="586">
                  <c:v>1438.5</c:v>
                </c:pt>
                <c:pt idx="587">
                  <c:v>807</c:v>
                </c:pt>
                <c:pt idx="588">
                  <c:v>2641</c:v>
                </c:pt>
                <c:pt idx="589">
                  <c:v>2708</c:v>
                </c:pt>
                <c:pt idx="590">
                  <c:v>2632</c:v>
                </c:pt>
                <c:pt idx="591">
                  <c:v>1583</c:v>
                </c:pt>
                <c:pt idx="592">
                  <c:v>571</c:v>
                </c:pt>
                <c:pt idx="593">
                  <c:v>2696</c:v>
                </c:pt>
                <c:pt idx="594">
                  <c:v>1565</c:v>
                </c:pt>
                <c:pt idx="595">
                  <c:v>1249</c:v>
                </c:pt>
                <c:pt idx="596">
                  <c:v>357</c:v>
                </c:pt>
                <c:pt idx="597">
                  <c:v>1013</c:v>
                </c:pt>
                <c:pt idx="598">
                  <c:v>3997.5</c:v>
                </c:pt>
                <c:pt idx="599">
                  <c:v>2632</c:v>
                </c:pt>
                <c:pt idx="600">
                  <c:v>1190</c:v>
                </c:pt>
                <c:pt idx="601">
                  <c:v>604</c:v>
                </c:pt>
                <c:pt idx="602">
                  <c:v>660</c:v>
                </c:pt>
                <c:pt idx="603">
                  <c:v>410</c:v>
                </c:pt>
                <c:pt idx="604">
                  <c:v>2605</c:v>
                </c:pt>
                <c:pt idx="605">
                  <c:v>1013</c:v>
                </c:pt>
                <c:pt idx="606">
                  <c:v>1583</c:v>
                </c:pt>
                <c:pt idx="607">
                  <c:v>1565</c:v>
                </c:pt>
                <c:pt idx="608">
                  <c:v>1659</c:v>
                </c:pt>
                <c:pt idx="609">
                  <c:v>1190</c:v>
                </c:pt>
                <c:pt idx="610">
                  <c:v>410</c:v>
                </c:pt>
                <c:pt idx="611">
                  <c:v>1770</c:v>
                </c:pt>
                <c:pt idx="612">
                  <c:v>2579</c:v>
                </c:pt>
                <c:pt idx="613">
                  <c:v>1743</c:v>
                </c:pt>
                <c:pt idx="614">
                  <c:v>2996</c:v>
                </c:pt>
                <c:pt idx="615">
                  <c:v>280</c:v>
                </c:pt>
                <c:pt idx="616">
                  <c:v>293</c:v>
                </c:pt>
                <c:pt idx="617">
                  <c:v>2996</c:v>
                </c:pt>
                <c:pt idx="618">
                  <c:v>278</c:v>
                </c:pt>
                <c:pt idx="619">
                  <c:v>2428</c:v>
                </c:pt>
                <c:pt idx="620">
                  <c:v>1767</c:v>
                </c:pt>
                <c:pt idx="621">
                  <c:v>1393</c:v>
                </c:pt>
                <c:pt idx="622">
                  <c:v>280</c:v>
                </c:pt>
                <c:pt idx="623">
                  <c:v>1393</c:v>
                </c:pt>
                <c:pt idx="624">
                  <c:v>2015</c:v>
                </c:pt>
                <c:pt idx="625">
                  <c:v>801</c:v>
                </c:pt>
                <c:pt idx="626">
                  <c:v>1023</c:v>
                </c:pt>
                <c:pt idx="627">
                  <c:v>1496</c:v>
                </c:pt>
                <c:pt idx="628">
                  <c:v>1010</c:v>
                </c:pt>
                <c:pt idx="629">
                  <c:v>1513</c:v>
                </c:pt>
                <c:pt idx="630">
                  <c:v>2300</c:v>
                </c:pt>
                <c:pt idx="631">
                  <c:v>2821</c:v>
                </c:pt>
                <c:pt idx="632">
                  <c:v>2227.5</c:v>
                </c:pt>
                <c:pt idx="633">
                  <c:v>1199</c:v>
                </c:pt>
                <c:pt idx="634">
                  <c:v>200</c:v>
                </c:pt>
                <c:pt idx="635">
                  <c:v>388</c:v>
                </c:pt>
                <c:pt idx="636">
                  <c:v>1727</c:v>
                </c:pt>
                <c:pt idx="637">
                  <c:v>2300</c:v>
                </c:pt>
                <c:pt idx="638">
                  <c:v>260</c:v>
                </c:pt>
                <c:pt idx="639">
                  <c:v>2470</c:v>
                </c:pt>
                <c:pt idx="640">
                  <c:v>1743</c:v>
                </c:pt>
                <c:pt idx="641">
                  <c:v>2914</c:v>
                </c:pt>
                <c:pt idx="642">
                  <c:v>1731</c:v>
                </c:pt>
                <c:pt idx="643">
                  <c:v>700</c:v>
                </c:pt>
                <c:pt idx="644">
                  <c:v>2222</c:v>
                </c:pt>
                <c:pt idx="645">
                  <c:v>1177</c:v>
                </c:pt>
                <c:pt idx="646">
                  <c:v>1922</c:v>
                </c:pt>
                <c:pt idx="647">
                  <c:v>1575</c:v>
                </c:pt>
                <c:pt idx="648">
                  <c:v>606</c:v>
                </c:pt>
                <c:pt idx="649">
                  <c:v>2460</c:v>
                </c:pt>
                <c:pt idx="650">
                  <c:v>269</c:v>
                </c:pt>
                <c:pt idx="651">
                  <c:v>2536</c:v>
                </c:pt>
                <c:pt idx="652">
                  <c:v>2903</c:v>
                </c:pt>
                <c:pt idx="653">
                  <c:v>2541</c:v>
                </c:pt>
                <c:pt idx="654">
                  <c:v>269</c:v>
                </c:pt>
                <c:pt idx="655">
                  <c:v>1496</c:v>
                </c:pt>
                <c:pt idx="656">
                  <c:v>1010</c:v>
                </c:pt>
                <c:pt idx="657">
                  <c:v>1281</c:v>
                </c:pt>
                <c:pt idx="658">
                  <c:v>888</c:v>
                </c:pt>
                <c:pt idx="659">
                  <c:v>2844</c:v>
                </c:pt>
                <c:pt idx="660">
                  <c:v>2475</c:v>
                </c:pt>
                <c:pt idx="661">
                  <c:v>1743</c:v>
                </c:pt>
                <c:pt idx="662">
                  <c:v>2914</c:v>
                </c:pt>
                <c:pt idx="663">
                  <c:v>1731</c:v>
                </c:pt>
                <c:pt idx="664">
                  <c:v>1727</c:v>
                </c:pt>
                <c:pt idx="665">
                  <c:v>1870</c:v>
                </c:pt>
                <c:pt idx="666">
                  <c:v>1174</c:v>
                </c:pt>
                <c:pt idx="667">
                  <c:v>2767</c:v>
                </c:pt>
                <c:pt idx="668">
                  <c:v>1085</c:v>
                </c:pt>
                <c:pt idx="669">
                  <c:v>546</c:v>
                </c:pt>
                <c:pt idx="670">
                  <c:v>1158</c:v>
                </c:pt>
                <c:pt idx="671">
                  <c:v>1614</c:v>
                </c:pt>
                <c:pt idx="672">
                  <c:v>2535</c:v>
                </c:pt>
                <c:pt idx="673">
                  <c:v>2851</c:v>
                </c:pt>
                <c:pt idx="674">
                  <c:v>2559</c:v>
                </c:pt>
                <c:pt idx="675">
                  <c:v>267</c:v>
                </c:pt>
                <c:pt idx="676">
                  <c:v>1085</c:v>
                </c:pt>
                <c:pt idx="677">
                  <c:v>1175</c:v>
                </c:pt>
                <c:pt idx="678">
                  <c:v>2007</c:v>
                </c:pt>
                <c:pt idx="679">
                  <c:v>2151</c:v>
                </c:pt>
                <c:pt idx="680">
                  <c:v>914</c:v>
                </c:pt>
                <c:pt idx="681">
                  <c:v>293</c:v>
                </c:pt>
                <c:pt idx="682">
                  <c:v>500</c:v>
                </c:pt>
                <c:pt idx="683">
                  <c:v>2826</c:v>
                </c:pt>
                <c:pt idx="684">
                  <c:v>663</c:v>
                </c:pt>
                <c:pt idx="685">
                  <c:v>2574</c:v>
                </c:pt>
                <c:pt idx="686">
                  <c:v>2438</c:v>
                </c:pt>
                <c:pt idx="687">
                  <c:v>914</c:v>
                </c:pt>
                <c:pt idx="688">
                  <c:v>865.5</c:v>
                </c:pt>
                <c:pt idx="689">
                  <c:v>492</c:v>
                </c:pt>
                <c:pt idx="690">
                  <c:v>267</c:v>
                </c:pt>
                <c:pt idx="691">
                  <c:v>1175</c:v>
                </c:pt>
                <c:pt idx="692">
                  <c:v>2954</c:v>
                </c:pt>
                <c:pt idx="693">
                  <c:v>552</c:v>
                </c:pt>
                <c:pt idx="694">
                  <c:v>293</c:v>
                </c:pt>
                <c:pt idx="695">
                  <c:v>2475</c:v>
                </c:pt>
                <c:pt idx="696">
                  <c:v>546</c:v>
                </c:pt>
                <c:pt idx="697">
                  <c:v>1368</c:v>
                </c:pt>
                <c:pt idx="698">
                  <c:v>723</c:v>
                </c:pt>
                <c:pt idx="699">
                  <c:v>1806</c:v>
                </c:pt>
              </c:numCache>
            </c:numRef>
          </c:bubbleSize>
          <c:bubble3D val="0"/>
          <c:extLst>
            <c:ext xmlns:c16="http://schemas.microsoft.com/office/drawing/2014/chart" uri="{C3380CC4-5D6E-409C-BE32-E72D297353CC}">
              <c16:uniqueId val="{00000000-190B-4CCD-A5AC-D8A18D1CEC3F}"/>
            </c:ext>
          </c:extLst>
        </c:ser>
        <c:ser>
          <c:idx val="1"/>
          <c:order val="1"/>
          <c:spPr>
            <a:solidFill>
              <a:schemeClr val="accent2">
                <a:alpha val="75000"/>
              </a:schemeClr>
            </a:solidFill>
            <a:ln w="25400">
              <a:noFill/>
            </a:ln>
            <a:effectLst/>
          </c:spPr>
          <c:invertIfNegative val="0"/>
          <c:xVal>
            <c:strRef>
              <c:f>Sheet1!$A$4:$A$703</c:f>
              <c:strCache>
                <c:ptCount val="700"/>
                <c:pt idx="0">
                  <c:v>Government-Canada-Carretera</c:v>
                </c:pt>
                <c:pt idx="1">
                  <c:v>Government-Germany-Carretera</c:v>
                </c:pt>
                <c:pt idx="2">
                  <c:v>Midmarket-France-Carretera</c:v>
                </c:pt>
                <c:pt idx="3">
                  <c:v>Midmarket-Germany-Carretera</c:v>
                </c:pt>
                <c:pt idx="4">
                  <c:v>Midmarket-Mexico-Carretera</c:v>
                </c:pt>
                <c:pt idx="5">
                  <c:v>Government-Germany-Carretera</c:v>
                </c:pt>
                <c:pt idx="6">
                  <c:v>Midmarket-Germany-Montana</c:v>
                </c:pt>
                <c:pt idx="7">
                  <c:v>Channel Partners-Canada-Montana</c:v>
                </c:pt>
                <c:pt idx="8">
                  <c:v>Government-France-Montana</c:v>
                </c:pt>
                <c:pt idx="9">
                  <c:v>Channel Partners-Germany-Montana</c:v>
                </c:pt>
                <c:pt idx="10">
                  <c:v>Midmarket-Mexico-Montana</c:v>
                </c:pt>
                <c:pt idx="11">
                  <c:v>Enterprise-Canada-Montana</c:v>
                </c:pt>
                <c:pt idx="12">
                  <c:v>Small Business-Mexico-Montana</c:v>
                </c:pt>
                <c:pt idx="13">
                  <c:v>Government-Germany-Montana</c:v>
                </c:pt>
                <c:pt idx="14">
                  <c:v>Enterprise-Canada-Montana</c:v>
                </c:pt>
                <c:pt idx="15">
                  <c:v>Midmarket-United States of America-Montana</c:v>
                </c:pt>
                <c:pt idx="16">
                  <c:v>Government-Canada-Paseo</c:v>
                </c:pt>
                <c:pt idx="17">
                  <c:v>Midmarket-Mexico-Paseo</c:v>
                </c:pt>
                <c:pt idx="18">
                  <c:v>Channel Partners-Canada-Paseo</c:v>
                </c:pt>
                <c:pt idx="19">
                  <c:v>Government-Germany-Paseo</c:v>
                </c:pt>
                <c:pt idx="20">
                  <c:v>Channel Partners-Germany-Paseo</c:v>
                </c:pt>
                <c:pt idx="21">
                  <c:v>Government-Mexico-Paseo</c:v>
                </c:pt>
                <c:pt idx="22">
                  <c:v>Midmarket-France-Paseo</c:v>
                </c:pt>
                <c:pt idx="23">
                  <c:v>Small Business-Mexico-Paseo</c:v>
                </c:pt>
                <c:pt idx="24">
                  <c:v>Midmarket-Mexico-Paseo</c:v>
                </c:pt>
                <c:pt idx="25">
                  <c:v>Government-United States of America-Paseo</c:v>
                </c:pt>
                <c:pt idx="26">
                  <c:v>Government-Canada-Paseo</c:v>
                </c:pt>
                <c:pt idx="27">
                  <c:v>Channel Partners-United States of America-Paseo</c:v>
                </c:pt>
                <c:pt idx="28">
                  <c:v>Midmarket-Canada-Paseo</c:v>
                </c:pt>
                <c:pt idx="29">
                  <c:v>Government-Canada-Paseo</c:v>
                </c:pt>
                <c:pt idx="30">
                  <c:v>Government-Germany-Paseo</c:v>
                </c:pt>
                <c:pt idx="31">
                  <c:v>Government-Mexico-Velo</c:v>
                </c:pt>
                <c:pt idx="32">
                  <c:v>Enterprise-France-Velo</c:v>
                </c:pt>
                <c:pt idx="33">
                  <c:v>Channel Partners-Germany-Velo</c:v>
                </c:pt>
                <c:pt idx="34">
                  <c:v>Government-Germany-Velo</c:v>
                </c:pt>
                <c:pt idx="35">
                  <c:v>Channel Partners-Germany-Velo</c:v>
                </c:pt>
                <c:pt idx="36">
                  <c:v>Enterprise-United States of America-Velo</c:v>
                </c:pt>
                <c:pt idx="37">
                  <c:v>Enterprise-Canada-Velo</c:v>
                </c:pt>
                <c:pt idx="38">
                  <c:v>Small Business-Canada-VTT</c:v>
                </c:pt>
                <c:pt idx="39">
                  <c:v>Channel Partners-Germany-VTT</c:v>
                </c:pt>
                <c:pt idx="40">
                  <c:v>Midmarket-France-VTT</c:v>
                </c:pt>
                <c:pt idx="41">
                  <c:v>Midmarket-Germany-VTT</c:v>
                </c:pt>
                <c:pt idx="42">
                  <c:v>Government-France-VTT</c:v>
                </c:pt>
                <c:pt idx="43">
                  <c:v>Small Business-France-VTT</c:v>
                </c:pt>
                <c:pt idx="44">
                  <c:v>Government-Canada-VTT</c:v>
                </c:pt>
                <c:pt idx="45">
                  <c:v>Government-France-Amarilla</c:v>
                </c:pt>
                <c:pt idx="46">
                  <c:v>Channel Partners-United States of America-Amarilla</c:v>
                </c:pt>
                <c:pt idx="47">
                  <c:v>Enterprise-Germany-Amarilla</c:v>
                </c:pt>
                <c:pt idx="48">
                  <c:v>Government-France-Amarilla</c:v>
                </c:pt>
                <c:pt idx="49">
                  <c:v>Government-Germany-Amarilla</c:v>
                </c:pt>
                <c:pt idx="50">
                  <c:v>Channel Partners-United States of America-Amarilla</c:v>
                </c:pt>
                <c:pt idx="51">
                  <c:v>Government-United States of America-Amarilla</c:v>
                </c:pt>
                <c:pt idx="52">
                  <c:v>Midmarket-United States of America-Amarilla</c:v>
                </c:pt>
                <c:pt idx="53">
                  <c:v>Government-France-Paseo</c:v>
                </c:pt>
                <c:pt idx="54">
                  <c:v>Midmarket-France-Paseo</c:v>
                </c:pt>
                <c:pt idx="55">
                  <c:v>Government-France-Paseo</c:v>
                </c:pt>
                <c:pt idx="56">
                  <c:v>Government-France-Velo</c:v>
                </c:pt>
                <c:pt idx="57">
                  <c:v>Government-Canada-VTT</c:v>
                </c:pt>
                <c:pt idx="58">
                  <c:v>Channel Partners-United States of America-Carretera</c:v>
                </c:pt>
                <c:pt idx="59">
                  <c:v>Government-Mexico-Carretera</c:v>
                </c:pt>
                <c:pt idx="60">
                  <c:v>Government-United States of America-Carretera</c:v>
                </c:pt>
                <c:pt idx="61">
                  <c:v>Channel Partners-Canada-Carretera</c:v>
                </c:pt>
                <c:pt idx="62">
                  <c:v>Enterprise-United States of America-Carretera</c:v>
                </c:pt>
                <c:pt idx="63">
                  <c:v>Channel Partners-France-Carretera</c:v>
                </c:pt>
                <c:pt idx="64">
                  <c:v>Channel Partners-Germany-Carretera</c:v>
                </c:pt>
                <c:pt idx="65">
                  <c:v>Small Business-Mexico-Carretera</c:v>
                </c:pt>
                <c:pt idx="66">
                  <c:v>Government-Mexico-Carretera</c:v>
                </c:pt>
                <c:pt idx="67">
                  <c:v>Government-France-Carretera</c:v>
                </c:pt>
                <c:pt idx="68">
                  <c:v>Midmarket-Mexico-Montana</c:v>
                </c:pt>
                <c:pt idx="69">
                  <c:v>Small Business-United States of America-Montana</c:v>
                </c:pt>
                <c:pt idx="70">
                  <c:v>Government-France-Montana</c:v>
                </c:pt>
                <c:pt idx="71">
                  <c:v>Government-Canada-Montana</c:v>
                </c:pt>
                <c:pt idx="72">
                  <c:v>Small Business-United States of America-Montana</c:v>
                </c:pt>
                <c:pt idx="73">
                  <c:v>Enterprise-United States of America-Montana</c:v>
                </c:pt>
                <c:pt idx="74">
                  <c:v>Midmarket-United States of America-Paseo</c:v>
                </c:pt>
                <c:pt idx="75">
                  <c:v>Government-United States of America-Paseo</c:v>
                </c:pt>
                <c:pt idx="76">
                  <c:v>Enterprise-United States of America-Paseo</c:v>
                </c:pt>
                <c:pt idx="77">
                  <c:v>Enterprise-France-Paseo</c:v>
                </c:pt>
                <c:pt idx="78">
                  <c:v>Enterprise-Mexico-Paseo</c:v>
                </c:pt>
                <c:pt idx="79">
                  <c:v>Midmarket-Germany-Paseo</c:v>
                </c:pt>
                <c:pt idx="80">
                  <c:v>Channel Partners-Germany-Paseo</c:v>
                </c:pt>
                <c:pt idx="81">
                  <c:v>Small Business-United States of America-Paseo</c:v>
                </c:pt>
                <c:pt idx="82">
                  <c:v>Government-France-Paseo</c:v>
                </c:pt>
                <c:pt idx="83">
                  <c:v>Government-France-Velo</c:v>
                </c:pt>
                <c:pt idx="84">
                  <c:v>Government-Mexico-Velo</c:v>
                </c:pt>
                <c:pt idx="85">
                  <c:v>Enterprise-Canada-Velo</c:v>
                </c:pt>
                <c:pt idx="86">
                  <c:v>Enterprise-United States of America-Velo</c:v>
                </c:pt>
                <c:pt idx="87">
                  <c:v>Government-Canada-Velo</c:v>
                </c:pt>
                <c:pt idx="88">
                  <c:v>Government-Germany-VTT</c:v>
                </c:pt>
                <c:pt idx="89">
                  <c:v>Government-Canada-VTT</c:v>
                </c:pt>
                <c:pt idx="90">
                  <c:v>Enterprise-United States of America-VTT</c:v>
                </c:pt>
                <c:pt idx="91">
                  <c:v>Enterprise-France-VTT</c:v>
                </c:pt>
                <c:pt idx="92">
                  <c:v>Small Business-Germany-VTT</c:v>
                </c:pt>
                <c:pt idx="93">
                  <c:v>Small Business-Mexico-VTT</c:v>
                </c:pt>
                <c:pt idx="94">
                  <c:v>Government-Mexico-VTT</c:v>
                </c:pt>
                <c:pt idx="95">
                  <c:v>Enterprise-France-VTT</c:v>
                </c:pt>
                <c:pt idx="96">
                  <c:v>Channel Partners-United States of America-Amarilla</c:v>
                </c:pt>
                <c:pt idx="97">
                  <c:v>Midmarket-France-Amarilla</c:v>
                </c:pt>
                <c:pt idx="98">
                  <c:v>Enterprise-Canada-Carretera</c:v>
                </c:pt>
                <c:pt idx="99">
                  <c:v>Channel Partners-Canada-Carretera</c:v>
                </c:pt>
                <c:pt idx="100">
                  <c:v>Small Business-Germany-Carretera</c:v>
                </c:pt>
                <c:pt idx="101">
                  <c:v>Government-France-Carretera</c:v>
                </c:pt>
                <c:pt idx="102">
                  <c:v>Government-Canada-Carretera</c:v>
                </c:pt>
                <c:pt idx="103">
                  <c:v>Channel Partners-United States of America-Montana</c:v>
                </c:pt>
                <c:pt idx="104">
                  <c:v>Government-United States of America-Montana</c:v>
                </c:pt>
                <c:pt idx="105">
                  <c:v>Channel Partners-Mexico-Montana</c:v>
                </c:pt>
                <c:pt idx="106">
                  <c:v>Enterprise-Mexico-Montana</c:v>
                </c:pt>
                <c:pt idx="107">
                  <c:v>Midmarket-Canada-Paseo</c:v>
                </c:pt>
                <c:pt idx="108">
                  <c:v>Small Business-France-Paseo</c:v>
                </c:pt>
                <c:pt idx="109">
                  <c:v>Small Business-Germany-Paseo</c:v>
                </c:pt>
                <c:pt idx="110">
                  <c:v>Channel Partners-United States of America-Paseo</c:v>
                </c:pt>
                <c:pt idx="111">
                  <c:v>Enterprise-Mexico-Paseo</c:v>
                </c:pt>
                <c:pt idx="112">
                  <c:v>Channel Partners-Canada-Paseo</c:v>
                </c:pt>
                <c:pt idx="113">
                  <c:v>Enterprise-Germany-Paseo</c:v>
                </c:pt>
                <c:pt idx="114">
                  <c:v>Enterprise-Mexico-Paseo</c:v>
                </c:pt>
                <c:pt idx="115">
                  <c:v>Channel Partners-France-Paseo</c:v>
                </c:pt>
                <c:pt idx="116">
                  <c:v>Small Business-Canada-Paseo</c:v>
                </c:pt>
                <c:pt idx="117">
                  <c:v>Government-Canada-Paseo</c:v>
                </c:pt>
                <c:pt idx="118">
                  <c:v>Enterprise-Canada-Paseo</c:v>
                </c:pt>
                <c:pt idx="119">
                  <c:v>Midmarket-United States of America-Paseo</c:v>
                </c:pt>
                <c:pt idx="120">
                  <c:v>Government-United States of America-Paseo</c:v>
                </c:pt>
                <c:pt idx="121">
                  <c:v>Channel Partners-France-Paseo</c:v>
                </c:pt>
                <c:pt idx="122">
                  <c:v>Channel Partners-Mexico-Paseo</c:v>
                </c:pt>
                <c:pt idx="123">
                  <c:v>Government-United States of America-Velo</c:v>
                </c:pt>
                <c:pt idx="124">
                  <c:v>Government-Germany-Velo</c:v>
                </c:pt>
                <c:pt idx="125">
                  <c:v>Government-Germany-Velo</c:v>
                </c:pt>
                <c:pt idx="126">
                  <c:v>Enterprise-Germany-Velo</c:v>
                </c:pt>
                <c:pt idx="127">
                  <c:v>Enterprise-Mexico-Velo</c:v>
                </c:pt>
                <c:pt idx="128">
                  <c:v>Channel Partners-France-Velo</c:v>
                </c:pt>
                <c:pt idx="129">
                  <c:v>Government-Mexico-Velo</c:v>
                </c:pt>
                <c:pt idx="130">
                  <c:v>Channel Partners-Mexico-Velo</c:v>
                </c:pt>
                <c:pt idx="131">
                  <c:v>Enterprise-Mexico-VTT</c:v>
                </c:pt>
                <c:pt idx="132">
                  <c:v>Small Business-Germany-VTT</c:v>
                </c:pt>
                <c:pt idx="133">
                  <c:v>Government-Germany-VTT</c:v>
                </c:pt>
                <c:pt idx="134">
                  <c:v>Enterprise-Canada-VTT</c:v>
                </c:pt>
                <c:pt idx="135">
                  <c:v>Government-United States of America-VTT</c:v>
                </c:pt>
                <c:pt idx="136">
                  <c:v>Government-Mexico-VTT</c:v>
                </c:pt>
                <c:pt idx="137">
                  <c:v>Small Business-Germany-Amarilla</c:v>
                </c:pt>
                <c:pt idx="138">
                  <c:v>Small Business-Mexico-Amarilla</c:v>
                </c:pt>
                <c:pt idx="139">
                  <c:v>Enterprise-Germany-Amarilla</c:v>
                </c:pt>
                <c:pt idx="140">
                  <c:v>Government-Germany-Amarilla</c:v>
                </c:pt>
                <c:pt idx="141">
                  <c:v>Government-United States of America-Amarilla</c:v>
                </c:pt>
                <c:pt idx="142">
                  <c:v>Government-France-Amarilla</c:v>
                </c:pt>
                <c:pt idx="143">
                  <c:v>Small Business-Canada-Amarilla</c:v>
                </c:pt>
                <c:pt idx="144">
                  <c:v>Enterprise-France-Carretera</c:v>
                </c:pt>
                <c:pt idx="145">
                  <c:v>Government-Germany-Carretera</c:v>
                </c:pt>
                <c:pt idx="146">
                  <c:v>Small Business-Germany-Carretera</c:v>
                </c:pt>
                <c:pt idx="147">
                  <c:v>Channel Partners-United States of America-Carretera</c:v>
                </c:pt>
                <c:pt idx="148">
                  <c:v>Channel Partners-Canada-Carretera</c:v>
                </c:pt>
                <c:pt idx="149">
                  <c:v>Government-Germany-Montana</c:v>
                </c:pt>
                <c:pt idx="150">
                  <c:v>Channel Partners-France-Montana</c:v>
                </c:pt>
                <c:pt idx="151">
                  <c:v>Government-France-Montana</c:v>
                </c:pt>
                <c:pt idx="152">
                  <c:v>Government-Germany-Montana</c:v>
                </c:pt>
                <c:pt idx="153">
                  <c:v>Enterprise-France-Montana</c:v>
                </c:pt>
                <c:pt idx="154">
                  <c:v>Enterprise-Germany-Montana</c:v>
                </c:pt>
                <c:pt idx="155">
                  <c:v>Small Business-France-Paseo</c:v>
                </c:pt>
                <c:pt idx="156">
                  <c:v>Enterprise-Canada-Paseo</c:v>
                </c:pt>
                <c:pt idx="157">
                  <c:v>Channel Partners-France-Paseo</c:v>
                </c:pt>
                <c:pt idx="158">
                  <c:v>Small Business-Germany-Paseo</c:v>
                </c:pt>
                <c:pt idx="159">
                  <c:v>Enterprise-Germany-Paseo</c:v>
                </c:pt>
                <c:pt idx="160">
                  <c:v>Channel Partners-United States of America-Paseo</c:v>
                </c:pt>
                <c:pt idx="161">
                  <c:v>Enterprise-Canada-Paseo</c:v>
                </c:pt>
                <c:pt idx="162">
                  <c:v>Midmarket-Germany-Paseo</c:v>
                </c:pt>
                <c:pt idx="163">
                  <c:v>Enterprise-France-Paseo</c:v>
                </c:pt>
                <c:pt idx="164">
                  <c:v>Enterprise-Germany-Paseo</c:v>
                </c:pt>
                <c:pt idx="165">
                  <c:v>Enterprise-Canada-Velo</c:v>
                </c:pt>
                <c:pt idx="166">
                  <c:v>Small Business-United States of America-VTT</c:v>
                </c:pt>
                <c:pt idx="167">
                  <c:v>Channel Partners-Mexico-VTT</c:v>
                </c:pt>
                <c:pt idx="168">
                  <c:v>Enterprise-Germany-VTT</c:v>
                </c:pt>
                <c:pt idx="169">
                  <c:v>Small Business-Canada-VTT</c:v>
                </c:pt>
                <c:pt idx="170">
                  <c:v>Government-Mexico-VTT</c:v>
                </c:pt>
                <c:pt idx="171">
                  <c:v>Midmarket-Germany-VTT</c:v>
                </c:pt>
                <c:pt idx="172">
                  <c:v>Government-Canada-Carretera</c:v>
                </c:pt>
                <c:pt idx="173">
                  <c:v>Government-Mexico-Paseo</c:v>
                </c:pt>
                <c:pt idx="174">
                  <c:v>Government-Canada-Velo</c:v>
                </c:pt>
                <c:pt idx="175">
                  <c:v>Channel Partners-Germany-VTT</c:v>
                </c:pt>
                <c:pt idx="176">
                  <c:v>Midmarket-Mexico-Montana</c:v>
                </c:pt>
                <c:pt idx="177">
                  <c:v>Midmarket-Mexico-Paseo</c:v>
                </c:pt>
                <c:pt idx="178">
                  <c:v>Midmarket-France-Paseo</c:v>
                </c:pt>
                <c:pt idx="179">
                  <c:v>Government-United States of America-Velo</c:v>
                </c:pt>
                <c:pt idx="180">
                  <c:v>Government-Canada-Carretera</c:v>
                </c:pt>
                <c:pt idx="181">
                  <c:v>Small Business-Germany-Carretera</c:v>
                </c:pt>
                <c:pt idx="182">
                  <c:v>Government-United States of America-Carretera</c:v>
                </c:pt>
                <c:pt idx="183">
                  <c:v>Midmarket-Canada-Montana</c:v>
                </c:pt>
                <c:pt idx="184">
                  <c:v>Small Business-Germany-Montana</c:v>
                </c:pt>
                <c:pt idx="185">
                  <c:v>Government-Canada-Montana</c:v>
                </c:pt>
                <c:pt idx="186">
                  <c:v>Small Business-Germany-Montana</c:v>
                </c:pt>
                <c:pt idx="187">
                  <c:v>Enterprise-Mexico-Montana</c:v>
                </c:pt>
                <c:pt idx="188">
                  <c:v>Government-Canada-Paseo</c:v>
                </c:pt>
                <c:pt idx="189">
                  <c:v>Enterprise-Germany-Paseo</c:v>
                </c:pt>
                <c:pt idx="190">
                  <c:v>Small Business-Germany-Paseo</c:v>
                </c:pt>
                <c:pt idx="191">
                  <c:v>Small Business-United States of America-Paseo</c:v>
                </c:pt>
                <c:pt idx="192">
                  <c:v>Government-United States of America-Paseo</c:v>
                </c:pt>
                <c:pt idx="193">
                  <c:v>Enterprise-France-Paseo</c:v>
                </c:pt>
                <c:pt idx="194">
                  <c:v>Midmarket-Canada-Paseo</c:v>
                </c:pt>
                <c:pt idx="195">
                  <c:v>Government-Canada-Paseo</c:v>
                </c:pt>
                <c:pt idx="196">
                  <c:v>Government-United States of America-Paseo</c:v>
                </c:pt>
                <c:pt idx="197">
                  <c:v>Midmarket-United States of America-Paseo</c:v>
                </c:pt>
                <c:pt idx="198">
                  <c:v>Midmarket-Mexico-Paseo</c:v>
                </c:pt>
                <c:pt idx="199">
                  <c:v>Government-United States of America-Paseo</c:v>
                </c:pt>
                <c:pt idx="200">
                  <c:v>Enterprise-Mexico-Paseo</c:v>
                </c:pt>
                <c:pt idx="201">
                  <c:v>Channel Partners-United States of America-Velo</c:v>
                </c:pt>
                <c:pt idx="202">
                  <c:v>Government-Canada-Velo</c:v>
                </c:pt>
                <c:pt idx="203">
                  <c:v>Government-France-Velo</c:v>
                </c:pt>
                <c:pt idx="204">
                  <c:v>Channel Partners-France-VTT</c:v>
                </c:pt>
                <c:pt idx="205">
                  <c:v>Government-United States of America-VTT</c:v>
                </c:pt>
                <c:pt idx="206">
                  <c:v>Government-France-VTT</c:v>
                </c:pt>
                <c:pt idx="207">
                  <c:v>Midmarket-Mexico-VTT</c:v>
                </c:pt>
                <c:pt idx="208">
                  <c:v>Government-Mexico-Amarilla</c:v>
                </c:pt>
                <c:pt idx="209">
                  <c:v>Enterprise-Mexico-Amarilla</c:v>
                </c:pt>
                <c:pt idx="210">
                  <c:v>Government-Germany-Amarilla</c:v>
                </c:pt>
                <c:pt idx="211">
                  <c:v>Midmarket-United States of America-Amarilla</c:v>
                </c:pt>
                <c:pt idx="212">
                  <c:v>Government-Canada-Amarilla</c:v>
                </c:pt>
                <c:pt idx="213">
                  <c:v>Government-Germany-Montana</c:v>
                </c:pt>
                <c:pt idx="214">
                  <c:v>Government-Germany-Paseo</c:v>
                </c:pt>
                <c:pt idx="215">
                  <c:v>Government-Canada-Paseo</c:v>
                </c:pt>
                <c:pt idx="216">
                  <c:v>Government-Mexico-Paseo</c:v>
                </c:pt>
                <c:pt idx="217">
                  <c:v>Channel Partners-Canada-Paseo</c:v>
                </c:pt>
                <c:pt idx="218">
                  <c:v>Channel Partners-Canada-Velo</c:v>
                </c:pt>
                <c:pt idx="219">
                  <c:v>Government-Mexico-VTT</c:v>
                </c:pt>
                <c:pt idx="220">
                  <c:v>Government-Mexico-Amarilla</c:v>
                </c:pt>
                <c:pt idx="221">
                  <c:v>Channel Partners-Mexico-Amarilla</c:v>
                </c:pt>
                <c:pt idx="222">
                  <c:v>Government-Germany-Amarilla</c:v>
                </c:pt>
                <c:pt idx="223">
                  <c:v>Channel Partners-France-Carretera</c:v>
                </c:pt>
                <c:pt idx="224">
                  <c:v>Channel Partners-Germany-Carretera</c:v>
                </c:pt>
                <c:pt idx="225">
                  <c:v>Government-France-Carretera</c:v>
                </c:pt>
                <c:pt idx="226">
                  <c:v>Small Business-United States of America-Carretera</c:v>
                </c:pt>
                <c:pt idx="227">
                  <c:v>Government-Germany-Carretera</c:v>
                </c:pt>
                <c:pt idx="228">
                  <c:v>Midmarket-Mexico-Carretera</c:v>
                </c:pt>
                <c:pt idx="229">
                  <c:v>Government-United States of America-Carretera</c:v>
                </c:pt>
                <c:pt idx="230">
                  <c:v>Government-France-Carretera</c:v>
                </c:pt>
                <c:pt idx="231">
                  <c:v>Government-France-Montana</c:v>
                </c:pt>
                <c:pt idx="232">
                  <c:v>Enterprise-United States of America-Montana</c:v>
                </c:pt>
                <c:pt idx="233">
                  <c:v>Government-Mexico-Montana</c:v>
                </c:pt>
                <c:pt idx="234">
                  <c:v>Channel Partners-Germany-Montana</c:v>
                </c:pt>
                <c:pt idx="235">
                  <c:v>Small Business-Mexico-Montana</c:v>
                </c:pt>
                <c:pt idx="236">
                  <c:v>Government-France-Paseo</c:v>
                </c:pt>
                <c:pt idx="237">
                  <c:v>Enterprise-United States of America-Paseo</c:v>
                </c:pt>
                <c:pt idx="238">
                  <c:v>Enterprise-France-Paseo</c:v>
                </c:pt>
                <c:pt idx="239">
                  <c:v>Small Business-Mexico-Paseo</c:v>
                </c:pt>
                <c:pt idx="240">
                  <c:v>Government-United States of America-Paseo</c:v>
                </c:pt>
                <c:pt idx="241">
                  <c:v>Small Business-United States of America-Paseo</c:v>
                </c:pt>
                <c:pt idx="242">
                  <c:v>Government-United States of America-Paseo</c:v>
                </c:pt>
                <c:pt idx="243">
                  <c:v>Midmarket-France-Paseo</c:v>
                </c:pt>
                <c:pt idx="244">
                  <c:v>Government-Canada-Paseo</c:v>
                </c:pt>
                <c:pt idx="245">
                  <c:v>Government-Canada-Paseo</c:v>
                </c:pt>
                <c:pt idx="246">
                  <c:v>Enterprise-United States of America-Paseo</c:v>
                </c:pt>
                <c:pt idx="247">
                  <c:v>Enterprise-France-Paseo</c:v>
                </c:pt>
                <c:pt idx="248">
                  <c:v>Government-Canada-Paseo</c:v>
                </c:pt>
                <c:pt idx="249">
                  <c:v>Government-United States of America-Paseo</c:v>
                </c:pt>
                <c:pt idx="250">
                  <c:v>Government-France-Paseo</c:v>
                </c:pt>
                <c:pt idx="251">
                  <c:v>Midmarket-Germany-Paseo</c:v>
                </c:pt>
                <c:pt idx="252">
                  <c:v>Midmarket-United States of America-Velo</c:v>
                </c:pt>
                <c:pt idx="253">
                  <c:v>Midmarket-Mexico-Velo</c:v>
                </c:pt>
                <c:pt idx="254">
                  <c:v>Enterprise-Germany-Velo</c:v>
                </c:pt>
                <c:pt idx="255">
                  <c:v>Government-United States of America-Velo</c:v>
                </c:pt>
                <c:pt idx="256">
                  <c:v>Government-United States of America-Velo</c:v>
                </c:pt>
                <c:pt idx="257">
                  <c:v>Government-France-Velo</c:v>
                </c:pt>
                <c:pt idx="258">
                  <c:v>Enterprise-United States of America-Velo</c:v>
                </c:pt>
                <c:pt idx="259">
                  <c:v>Enterprise-France-Velo</c:v>
                </c:pt>
                <c:pt idx="260">
                  <c:v>Government-France-Velo</c:v>
                </c:pt>
                <c:pt idx="261">
                  <c:v>Small Business-Germany-Velo</c:v>
                </c:pt>
                <c:pt idx="262">
                  <c:v>Government-Canada-VTT</c:v>
                </c:pt>
                <c:pt idx="263">
                  <c:v>Government-United States of America-VTT</c:v>
                </c:pt>
                <c:pt idx="264">
                  <c:v>Government-Germany-VTT</c:v>
                </c:pt>
                <c:pt idx="265">
                  <c:v>Government-United States of America-VTT</c:v>
                </c:pt>
                <c:pt idx="266">
                  <c:v>Government-United States of America-VTT</c:v>
                </c:pt>
                <c:pt idx="267">
                  <c:v>Government-France-VTT</c:v>
                </c:pt>
                <c:pt idx="268">
                  <c:v>Government-Germany-Amarilla</c:v>
                </c:pt>
                <c:pt idx="269">
                  <c:v>Government-Canada-Amarilla</c:v>
                </c:pt>
                <c:pt idx="270">
                  <c:v>Government-Canada-Amarilla</c:v>
                </c:pt>
                <c:pt idx="271">
                  <c:v>Small Business-Germany-Amarilla</c:v>
                </c:pt>
                <c:pt idx="272">
                  <c:v>Midmarket-France-Paseo</c:v>
                </c:pt>
                <c:pt idx="273">
                  <c:v>Government-United States of America-Carretera</c:v>
                </c:pt>
                <c:pt idx="274">
                  <c:v>Midmarket-Canada-Carretera</c:v>
                </c:pt>
                <c:pt idx="275">
                  <c:v>Channel Partners-Mexico-Carretera</c:v>
                </c:pt>
                <c:pt idx="276">
                  <c:v>Channel Partners-Canada-Carretera</c:v>
                </c:pt>
                <c:pt idx="277">
                  <c:v>Midmarket-United States of America-Carretera</c:v>
                </c:pt>
                <c:pt idx="278">
                  <c:v>Government-United States of America-Carretera</c:v>
                </c:pt>
                <c:pt idx="279">
                  <c:v>Enterprise-Germany-Carretera</c:v>
                </c:pt>
                <c:pt idx="280">
                  <c:v>Government-Mexico-Montana</c:v>
                </c:pt>
                <c:pt idx="281">
                  <c:v>Government-Germany-Montana</c:v>
                </c:pt>
                <c:pt idx="282">
                  <c:v>Government-France-Montana</c:v>
                </c:pt>
                <c:pt idx="283">
                  <c:v>Channel Partners-United States of America-Montana</c:v>
                </c:pt>
                <c:pt idx="284">
                  <c:v>Government-France-Paseo</c:v>
                </c:pt>
                <c:pt idx="285">
                  <c:v>Channel Partners-Canada-Paseo</c:v>
                </c:pt>
                <c:pt idx="286">
                  <c:v>Government-United States of America-Paseo</c:v>
                </c:pt>
                <c:pt idx="287">
                  <c:v>Enterprise-Canada-Velo</c:v>
                </c:pt>
                <c:pt idx="288">
                  <c:v>Enterprise-United States of America-Velo</c:v>
                </c:pt>
                <c:pt idx="289">
                  <c:v>Midmarket-Germany-Velo</c:v>
                </c:pt>
                <c:pt idx="290">
                  <c:v>Government-France-Velo</c:v>
                </c:pt>
                <c:pt idx="291">
                  <c:v>Government-Mexico-Velo</c:v>
                </c:pt>
                <c:pt idx="292">
                  <c:v>Small Business-France-Velo</c:v>
                </c:pt>
                <c:pt idx="293">
                  <c:v>Government-France-Velo</c:v>
                </c:pt>
                <c:pt idx="294">
                  <c:v>Midmarket-Canada-VTT</c:v>
                </c:pt>
                <c:pt idx="295">
                  <c:v>Government-Mexico-VTT</c:v>
                </c:pt>
                <c:pt idx="296">
                  <c:v>Small Business-France-VTT</c:v>
                </c:pt>
                <c:pt idx="297">
                  <c:v>Government-Mexico-VTT</c:v>
                </c:pt>
                <c:pt idx="298">
                  <c:v>Small Business-Canada-VTT</c:v>
                </c:pt>
                <c:pt idx="299">
                  <c:v>Enterprise-France-Amarilla</c:v>
                </c:pt>
                <c:pt idx="300">
                  <c:v>Government-Mexico-Amarilla</c:v>
                </c:pt>
                <c:pt idx="301">
                  <c:v>Government-United States of America-Amarilla</c:v>
                </c:pt>
                <c:pt idx="302">
                  <c:v>Government-France-Amarilla</c:v>
                </c:pt>
                <c:pt idx="303">
                  <c:v>Government-France-Amarilla</c:v>
                </c:pt>
                <c:pt idx="304">
                  <c:v>Government-France-Montana</c:v>
                </c:pt>
                <c:pt idx="305">
                  <c:v>Midmarket-United States of America-Paseo</c:v>
                </c:pt>
                <c:pt idx="306">
                  <c:v>Midmarket-Germany-Paseo</c:v>
                </c:pt>
                <c:pt idx="307">
                  <c:v>Midmarket-United States of America-Paseo</c:v>
                </c:pt>
                <c:pt idx="308">
                  <c:v>Government-France-Paseo</c:v>
                </c:pt>
                <c:pt idx="309">
                  <c:v>Government-Germany-Velo</c:v>
                </c:pt>
                <c:pt idx="310">
                  <c:v>Government-Mexico-Velo</c:v>
                </c:pt>
                <c:pt idx="311">
                  <c:v>Midmarket-United States of America-VTT</c:v>
                </c:pt>
                <c:pt idx="312">
                  <c:v>Channel Partners-Mexico-Carretera</c:v>
                </c:pt>
                <c:pt idx="313">
                  <c:v>Channel Partners-Canada-Carretera</c:v>
                </c:pt>
                <c:pt idx="314">
                  <c:v>Government-Mexico-Carretera</c:v>
                </c:pt>
                <c:pt idx="315">
                  <c:v>Channel Partners-Mexico-Montana</c:v>
                </c:pt>
                <c:pt idx="316">
                  <c:v>Channel Partners-France-Montana</c:v>
                </c:pt>
                <c:pt idx="317">
                  <c:v>Government-France-Paseo</c:v>
                </c:pt>
                <c:pt idx="318">
                  <c:v>Midmarket-Canada-Velo</c:v>
                </c:pt>
                <c:pt idx="319">
                  <c:v>Government-Canada-Velo</c:v>
                </c:pt>
                <c:pt idx="320">
                  <c:v>Government-United States of America-Velo</c:v>
                </c:pt>
                <c:pt idx="321">
                  <c:v>Government-Canada-Velo</c:v>
                </c:pt>
                <c:pt idx="322">
                  <c:v>Channel Partners-France-VTT</c:v>
                </c:pt>
                <c:pt idx="323">
                  <c:v>Channel Partners-Germany-VTT</c:v>
                </c:pt>
                <c:pt idx="324">
                  <c:v>Government-Canada-VTT</c:v>
                </c:pt>
                <c:pt idx="325">
                  <c:v>Government-Canada-Amarilla</c:v>
                </c:pt>
                <c:pt idx="326">
                  <c:v>Government-United States of America-Carretera</c:v>
                </c:pt>
                <c:pt idx="327">
                  <c:v>Small Business-France-Carretera</c:v>
                </c:pt>
                <c:pt idx="328">
                  <c:v>Small Business-France-Carretera</c:v>
                </c:pt>
                <c:pt idx="329">
                  <c:v>Government-France-Montana</c:v>
                </c:pt>
                <c:pt idx="330">
                  <c:v>Small Business-France-Montana</c:v>
                </c:pt>
                <c:pt idx="331">
                  <c:v>Enterprise-Germany-Montana</c:v>
                </c:pt>
                <c:pt idx="332">
                  <c:v>Small Business-Canada-Paseo</c:v>
                </c:pt>
                <c:pt idx="333">
                  <c:v>Small Business-France-Paseo</c:v>
                </c:pt>
                <c:pt idx="334">
                  <c:v>Enterprise-Germany-Paseo</c:v>
                </c:pt>
                <c:pt idx="335">
                  <c:v>Midmarket-France-Paseo</c:v>
                </c:pt>
                <c:pt idx="336">
                  <c:v>Midmarket-United States of America-Paseo</c:v>
                </c:pt>
                <c:pt idx="337">
                  <c:v>Government-France-Paseo</c:v>
                </c:pt>
                <c:pt idx="338">
                  <c:v>Small Business-Germany-Paseo</c:v>
                </c:pt>
                <c:pt idx="339">
                  <c:v>Small Business-Canada-Paseo</c:v>
                </c:pt>
                <c:pt idx="340">
                  <c:v>Channel Partners-Mexico-Paseo</c:v>
                </c:pt>
                <c:pt idx="341">
                  <c:v>Government-Germany-Paseo</c:v>
                </c:pt>
                <c:pt idx="342">
                  <c:v>Small Business-France-Velo</c:v>
                </c:pt>
                <c:pt idx="343">
                  <c:v>Government-Mexico-Velo</c:v>
                </c:pt>
                <c:pt idx="344">
                  <c:v>Enterprise-Germany-Velo</c:v>
                </c:pt>
                <c:pt idx="345">
                  <c:v>Government-France-Velo</c:v>
                </c:pt>
                <c:pt idx="346">
                  <c:v>Government-United States of America-Velo</c:v>
                </c:pt>
                <c:pt idx="347">
                  <c:v>Small Business-United States of America-Velo</c:v>
                </c:pt>
                <c:pt idx="348">
                  <c:v>Government-Germany-Velo</c:v>
                </c:pt>
                <c:pt idx="349">
                  <c:v>Channel Partners-Canada-VTT</c:v>
                </c:pt>
                <c:pt idx="350">
                  <c:v>Small Business-France-VTT</c:v>
                </c:pt>
                <c:pt idx="351">
                  <c:v>Small Business-Mexico-VTT</c:v>
                </c:pt>
                <c:pt idx="352">
                  <c:v>Enterprise-Canada-Amarilla</c:v>
                </c:pt>
                <c:pt idx="353">
                  <c:v>Government-France-Amarilla</c:v>
                </c:pt>
                <c:pt idx="354">
                  <c:v>Enterprise-Germany-Amarilla</c:v>
                </c:pt>
                <c:pt idx="355">
                  <c:v>Government-Canada-Amarilla</c:v>
                </c:pt>
                <c:pt idx="356">
                  <c:v>Small Business-United States of America-Amarilla</c:v>
                </c:pt>
                <c:pt idx="357">
                  <c:v>Government-Canada-Montana</c:v>
                </c:pt>
                <c:pt idx="358">
                  <c:v>Government-United States of America-Montana</c:v>
                </c:pt>
                <c:pt idx="359">
                  <c:v>Government-Canada-Paseo</c:v>
                </c:pt>
                <c:pt idx="360">
                  <c:v>Government-United States of America-Amarilla</c:v>
                </c:pt>
                <c:pt idx="361">
                  <c:v>Enterprise-Mexico-Carretera</c:v>
                </c:pt>
                <c:pt idx="362">
                  <c:v>Midmarket-France-Carretera</c:v>
                </c:pt>
                <c:pt idx="363">
                  <c:v>Government-Mexico-Carretera</c:v>
                </c:pt>
                <c:pt idx="364">
                  <c:v>Midmarket-France-Montana</c:v>
                </c:pt>
                <c:pt idx="365">
                  <c:v>Government-Canada-Montana</c:v>
                </c:pt>
                <c:pt idx="366">
                  <c:v>Government-Germany-Montana</c:v>
                </c:pt>
                <c:pt idx="367">
                  <c:v>Small Business-France-Montana</c:v>
                </c:pt>
                <c:pt idx="368">
                  <c:v>Small Business-Canada-Montana</c:v>
                </c:pt>
                <c:pt idx="369">
                  <c:v>Midmarket-Germany-Montana</c:v>
                </c:pt>
                <c:pt idx="370">
                  <c:v>Enterprise-Mexico-Paseo</c:v>
                </c:pt>
                <c:pt idx="371">
                  <c:v>Government-Germany-Paseo</c:v>
                </c:pt>
                <c:pt idx="372">
                  <c:v>Government-Germany-Paseo</c:v>
                </c:pt>
                <c:pt idx="373">
                  <c:v>Government-Germany-Paseo</c:v>
                </c:pt>
                <c:pt idx="374">
                  <c:v>Small Business-Mexico-Paseo</c:v>
                </c:pt>
                <c:pt idx="375">
                  <c:v>Government-United States of America-Paseo</c:v>
                </c:pt>
                <c:pt idx="376">
                  <c:v>Government-Germany-Paseo</c:v>
                </c:pt>
                <c:pt idx="377">
                  <c:v>Government-Germany-Paseo</c:v>
                </c:pt>
                <c:pt idx="378">
                  <c:v>Government-Germany-Paseo</c:v>
                </c:pt>
                <c:pt idx="379">
                  <c:v>Government-Mexico-Paseo</c:v>
                </c:pt>
                <c:pt idx="380">
                  <c:v>Government-Germany-Paseo</c:v>
                </c:pt>
                <c:pt idx="381">
                  <c:v>Government-Mexico-Paseo</c:v>
                </c:pt>
                <c:pt idx="382">
                  <c:v>Government-Mexico-Paseo</c:v>
                </c:pt>
                <c:pt idx="383">
                  <c:v>Channel Partners-Canada-Velo</c:v>
                </c:pt>
                <c:pt idx="384">
                  <c:v>Government-United States of America-Velo</c:v>
                </c:pt>
                <c:pt idx="385">
                  <c:v>Government-Germany-Velo</c:v>
                </c:pt>
                <c:pt idx="386">
                  <c:v>Small Business-France-Velo</c:v>
                </c:pt>
                <c:pt idx="387">
                  <c:v>Small Business-Mexico-Velo</c:v>
                </c:pt>
                <c:pt idx="388">
                  <c:v>Government-France-VTT</c:v>
                </c:pt>
                <c:pt idx="389">
                  <c:v>Government-Germany-VTT</c:v>
                </c:pt>
                <c:pt idx="390">
                  <c:v>Government-France-VTT</c:v>
                </c:pt>
                <c:pt idx="391">
                  <c:v>Government-Germany-VTT</c:v>
                </c:pt>
                <c:pt idx="392">
                  <c:v>Small Business-Canada-VTT</c:v>
                </c:pt>
                <c:pt idx="393">
                  <c:v>Small Business-United States of America-VTT</c:v>
                </c:pt>
                <c:pt idx="394">
                  <c:v>Government-Canada-Amarilla</c:v>
                </c:pt>
                <c:pt idx="395">
                  <c:v>Government-United States of America-Amarilla</c:v>
                </c:pt>
                <c:pt idx="396">
                  <c:v>Government-Germany-Amarilla</c:v>
                </c:pt>
                <c:pt idx="397">
                  <c:v>Small Business-Mexico-Amarilla</c:v>
                </c:pt>
                <c:pt idx="398">
                  <c:v>Government-Germany-Amarilla</c:v>
                </c:pt>
                <c:pt idx="399">
                  <c:v>Midmarket-Germany-Amarilla</c:v>
                </c:pt>
                <c:pt idx="400">
                  <c:v>Channel Partners-Mexico-Amarilla</c:v>
                </c:pt>
                <c:pt idx="401">
                  <c:v>Small Business-Mexico-Amarilla</c:v>
                </c:pt>
                <c:pt idx="402">
                  <c:v>Government-United States of America-VTT</c:v>
                </c:pt>
                <c:pt idx="403">
                  <c:v>Small Business-Canada-Carretera</c:v>
                </c:pt>
                <c:pt idx="404">
                  <c:v>Channel Partners-Mexico-Carretera</c:v>
                </c:pt>
                <c:pt idx="405">
                  <c:v>Small Business-Canada-Montana</c:v>
                </c:pt>
                <c:pt idx="406">
                  <c:v>Government-France-Montana</c:v>
                </c:pt>
                <c:pt idx="407">
                  <c:v>Small Business-France-Montana</c:v>
                </c:pt>
                <c:pt idx="408">
                  <c:v>Channel Partners-Canada-Montana</c:v>
                </c:pt>
                <c:pt idx="409">
                  <c:v>Enterprise-France-Montana</c:v>
                </c:pt>
                <c:pt idx="410">
                  <c:v>Government-Canada-Montana</c:v>
                </c:pt>
                <c:pt idx="411">
                  <c:v>Enterprise-United States of America-Montana</c:v>
                </c:pt>
                <c:pt idx="412">
                  <c:v>Small Business-Germany-Montana</c:v>
                </c:pt>
                <c:pt idx="413">
                  <c:v>Small Business-Mexico-Paseo</c:v>
                </c:pt>
                <c:pt idx="414">
                  <c:v>Government-Mexico-Paseo</c:v>
                </c:pt>
                <c:pt idx="415">
                  <c:v>Midmarket-United States of America-Paseo</c:v>
                </c:pt>
                <c:pt idx="416">
                  <c:v>Small Business-Canada-Paseo</c:v>
                </c:pt>
                <c:pt idx="417">
                  <c:v>Midmarket-France-Paseo</c:v>
                </c:pt>
                <c:pt idx="418">
                  <c:v>Channel Partners-Mexico-Paseo</c:v>
                </c:pt>
                <c:pt idx="419">
                  <c:v>Small Business-France-Paseo</c:v>
                </c:pt>
                <c:pt idx="420">
                  <c:v>Channel Partners-Germany-Paseo</c:v>
                </c:pt>
                <c:pt idx="421">
                  <c:v>Enterprise-United States of America-Paseo</c:v>
                </c:pt>
                <c:pt idx="422">
                  <c:v>Midmarket-Mexico-Velo</c:v>
                </c:pt>
                <c:pt idx="423">
                  <c:v>Small Business-Canada-Velo</c:v>
                </c:pt>
                <c:pt idx="424">
                  <c:v>Government-Germany-Velo</c:v>
                </c:pt>
                <c:pt idx="425">
                  <c:v>Enterprise-Canada-Velo</c:v>
                </c:pt>
                <c:pt idx="426">
                  <c:v>Enterprise-Mexico-Velo</c:v>
                </c:pt>
                <c:pt idx="427">
                  <c:v>Government-Canada-Velo</c:v>
                </c:pt>
                <c:pt idx="428">
                  <c:v>Channel Partners-United States of America-VTT</c:v>
                </c:pt>
                <c:pt idx="429">
                  <c:v>Small Business-Germany-VTT</c:v>
                </c:pt>
                <c:pt idx="430">
                  <c:v>Government-United States of America-VTT</c:v>
                </c:pt>
                <c:pt idx="431">
                  <c:v>Channel Partners-Germany-VTT</c:v>
                </c:pt>
                <c:pt idx="432">
                  <c:v>Small Business-United States of America-VTT</c:v>
                </c:pt>
                <c:pt idx="433">
                  <c:v>Channel Partners-France-VTT</c:v>
                </c:pt>
                <c:pt idx="434">
                  <c:v>Midmarket-France-VTT</c:v>
                </c:pt>
                <c:pt idx="435">
                  <c:v>Enterprise-Mexico-VTT</c:v>
                </c:pt>
                <c:pt idx="436">
                  <c:v>Government-United States of America-Amarilla</c:v>
                </c:pt>
                <c:pt idx="437">
                  <c:v>Government-Canada-Amarilla</c:v>
                </c:pt>
                <c:pt idx="438">
                  <c:v>Midmarket-Germany-Amarilla</c:v>
                </c:pt>
                <c:pt idx="439">
                  <c:v>Government-Mexico-Amarilla</c:v>
                </c:pt>
                <c:pt idx="440">
                  <c:v>Government-Germany-Carretera</c:v>
                </c:pt>
                <c:pt idx="441">
                  <c:v>Government-Canada-Carretera</c:v>
                </c:pt>
                <c:pt idx="442">
                  <c:v>Channel Partners-Germany-Carretera</c:v>
                </c:pt>
                <c:pt idx="443">
                  <c:v>Government-Mexico-Carretera</c:v>
                </c:pt>
                <c:pt idx="444">
                  <c:v>Government-United States of America-Paseo</c:v>
                </c:pt>
                <c:pt idx="445">
                  <c:v>Government-Mexico-Paseo</c:v>
                </c:pt>
                <c:pt idx="446">
                  <c:v>Government-Germany-Paseo</c:v>
                </c:pt>
                <c:pt idx="447">
                  <c:v>Channel Partners-France-Velo</c:v>
                </c:pt>
                <c:pt idx="448">
                  <c:v>Midmarket-Mexico-Velo</c:v>
                </c:pt>
                <c:pt idx="449">
                  <c:v>Government-Germany-VTT</c:v>
                </c:pt>
                <c:pt idx="450">
                  <c:v>Government-France-VTT</c:v>
                </c:pt>
                <c:pt idx="451">
                  <c:v>Government-Mexico-VTT</c:v>
                </c:pt>
                <c:pt idx="452">
                  <c:v>Government-Mexico-Amarilla</c:v>
                </c:pt>
                <c:pt idx="453">
                  <c:v>Midmarket-Canada-Amarilla</c:v>
                </c:pt>
                <c:pt idx="454">
                  <c:v>Channel Partners-France-Amarilla</c:v>
                </c:pt>
                <c:pt idx="455">
                  <c:v>Channel Partners-United States of America-Carretera</c:v>
                </c:pt>
                <c:pt idx="456">
                  <c:v>Government-United States of America-Montana</c:v>
                </c:pt>
                <c:pt idx="457">
                  <c:v>Channel Partners-United States of America-Paseo</c:v>
                </c:pt>
                <c:pt idx="458">
                  <c:v>Enterprise-United States of America-Carretera</c:v>
                </c:pt>
                <c:pt idx="459">
                  <c:v>Enterprise-France-Carretera</c:v>
                </c:pt>
                <c:pt idx="460">
                  <c:v>Government-United States of America-Montana</c:v>
                </c:pt>
                <c:pt idx="461">
                  <c:v>Enterprise-United States of America-Montana</c:v>
                </c:pt>
                <c:pt idx="462">
                  <c:v>Midmarket-France-Montana</c:v>
                </c:pt>
                <c:pt idx="463">
                  <c:v>Government-France-Paseo</c:v>
                </c:pt>
                <c:pt idx="464">
                  <c:v>Small Business-Mexico-Paseo</c:v>
                </c:pt>
                <c:pt idx="465">
                  <c:v>Midmarket-France-Paseo</c:v>
                </c:pt>
                <c:pt idx="466">
                  <c:v>Government-Germany-Paseo</c:v>
                </c:pt>
                <c:pt idx="467">
                  <c:v>Midmarket-Germany-Velo</c:v>
                </c:pt>
                <c:pt idx="468">
                  <c:v>Midmarket-Germany-Velo</c:v>
                </c:pt>
                <c:pt idx="469">
                  <c:v>Midmarket-United States of America-Velo</c:v>
                </c:pt>
                <c:pt idx="470">
                  <c:v>Government-France-Velo</c:v>
                </c:pt>
                <c:pt idx="471">
                  <c:v>Enterprise-United States of America-Velo</c:v>
                </c:pt>
                <c:pt idx="472">
                  <c:v>Small Business-United States of America-Velo</c:v>
                </c:pt>
                <c:pt idx="473">
                  <c:v>Government-Germany-Velo</c:v>
                </c:pt>
                <c:pt idx="474">
                  <c:v>Government-Germany-Velo</c:v>
                </c:pt>
                <c:pt idx="475">
                  <c:v>Enterprise-Canada-Velo</c:v>
                </c:pt>
                <c:pt idx="476">
                  <c:v>Small Business-France-Velo</c:v>
                </c:pt>
                <c:pt idx="477">
                  <c:v>Enterprise-Mexico-VTT</c:v>
                </c:pt>
                <c:pt idx="478">
                  <c:v>Midmarket-Mexico-VTT</c:v>
                </c:pt>
                <c:pt idx="479">
                  <c:v>Government-United States of America-VTT</c:v>
                </c:pt>
                <c:pt idx="480">
                  <c:v>Small Business-Mexico-VTT</c:v>
                </c:pt>
                <c:pt idx="481">
                  <c:v>Small Business-United States of America-VTT</c:v>
                </c:pt>
                <c:pt idx="482">
                  <c:v>Midmarket-France-VTT</c:v>
                </c:pt>
                <c:pt idx="483">
                  <c:v>Enterprise-Canada-VTT</c:v>
                </c:pt>
                <c:pt idx="484">
                  <c:v>Government-Germany-VTT</c:v>
                </c:pt>
                <c:pt idx="485">
                  <c:v>Enterprise-United States of America-Amarilla</c:v>
                </c:pt>
                <c:pt idx="486">
                  <c:v>Government-Canada-Amarilla</c:v>
                </c:pt>
                <c:pt idx="487">
                  <c:v>Small Business-United States of America-Amarilla</c:v>
                </c:pt>
                <c:pt idx="488">
                  <c:v>Channel Partners-Canada-Amarilla</c:v>
                </c:pt>
                <c:pt idx="489">
                  <c:v>Government-Mexico-Amarilla</c:v>
                </c:pt>
                <c:pt idx="490">
                  <c:v>Channel Partners-Germany-Amarilla</c:v>
                </c:pt>
                <c:pt idx="491">
                  <c:v>Government-Canada-Amarilla</c:v>
                </c:pt>
                <c:pt idx="492">
                  <c:v>Midmarket-France-Amarilla</c:v>
                </c:pt>
                <c:pt idx="493">
                  <c:v>Small Business-France-Amarilla</c:v>
                </c:pt>
                <c:pt idx="494">
                  <c:v>Channel Partners-France-Carretera</c:v>
                </c:pt>
                <c:pt idx="495">
                  <c:v>Government-France-Paseo</c:v>
                </c:pt>
                <c:pt idx="496">
                  <c:v>Channel Partners-France-Paseo</c:v>
                </c:pt>
                <c:pt idx="497">
                  <c:v>Midmarket-Canada-Velo</c:v>
                </c:pt>
                <c:pt idx="498">
                  <c:v>Channel Partners-Germany-Velo</c:v>
                </c:pt>
                <c:pt idx="499">
                  <c:v>Government-United States of America-VTT</c:v>
                </c:pt>
                <c:pt idx="500">
                  <c:v>Channel Partners-Mexico-VTT</c:v>
                </c:pt>
                <c:pt idx="501">
                  <c:v>Midmarket-United States of America-Amarilla</c:v>
                </c:pt>
                <c:pt idx="502">
                  <c:v>Channel Partners-Germany-Amarilla</c:v>
                </c:pt>
                <c:pt idx="503">
                  <c:v>Channel Partners-Canada-Carretera</c:v>
                </c:pt>
                <c:pt idx="504">
                  <c:v>Government-Germany-Carretera</c:v>
                </c:pt>
                <c:pt idx="505">
                  <c:v>Small Business-Germany-Carretera</c:v>
                </c:pt>
                <c:pt idx="506">
                  <c:v>Enterprise-France-Carretera</c:v>
                </c:pt>
                <c:pt idx="507">
                  <c:v>Midmarket-Canada-Carretera</c:v>
                </c:pt>
                <c:pt idx="508">
                  <c:v>Government-Mexico-Carretera</c:v>
                </c:pt>
                <c:pt idx="509">
                  <c:v>Government-Germany-Montana</c:v>
                </c:pt>
                <c:pt idx="510">
                  <c:v>Government-Germany-Montana</c:v>
                </c:pt>
                <c:pt idx="511">
                  <c:v>Midmarket-Mexico-Montana</c:v>
                </c:pt>
                <c:pt idx="512">
                  <c:v>Small Business-Canada-Paseo</c:v>
                </c:pt>
                <c:pt idx="513">
                  <c:v>Government-Mexico-Paseo</c:v>
                </c:pt>
                <c:pt idx="514">
                  <c:v>Government-Canada-Paseo</c:v>
                </c:pt>
                <c:pt idx="515">
                  <c:v>Channel Partners-Canada-Paseo</c:v>
                </c:pt>
                <c:pt idx="516">
                  <c:v>Channel Partners-France-Paseo</c:v>
                </c:pt>
                <c:pt idx="517">
                  <c:v>Government-Canada-Paseo</c:v>
                </c:pt>
                <c:pt idx="518">
                  <c:v>Midmarket-Mexico-Paseo</c:v>
                </c:pt>
                <c:pt idx="519">
                  <c:v>Enterprise-France-Paseo</c:v>
                </c:pt>
                <c:pt idx="520">
                  <c:v>Government-Germany-Paseo</c:v>
                </c:pt>
                <c:pt idx="521">
                  <c:v>Small Business-Canada-Paseo</c:v>
                </c:pt>
                <c:pt idx="522">
                  <c:v>Government-France-Velo</c:v>
                </c:pt>
                <c:pt idx="523">
                  <c:v>Midmarket-Mexico-Velo</c:v>
                </c:pt>
                <c:pt idx="524">
                  <c:v>Government-Mexico-Velo</c:v>
                </c:pt>
                <c:pt idx="525">
                  <c:v>Government-Canada-Velo</c:v>
                </c:pt>
                <c:pt idx="526">
                  <c:v>Channel Partners-France-VTT</c:v>
                </c:pt>
                <c:pt idx="527">
                  <c:v>Enterprise-Mexico-VTT</c:v>
                </c:pt>
                <c:pt idx="528">
                  <c:v>Government-Canada-VTT</c:v>
                </c:pt>
                <c:pt idx="529">
                  <c:v>Enterprise-Germany-Amarilla</c:v>
                </c:pt>
                <c:pt idx="530">
                  <c:v>Government-Mexico-Amarilla</c:v>
                </c:pt>
                <c:pt idx="531">
                  <c:v>Enterprise-France-Amarilla</c:v>
                </c:pt>
                <c:pt idx="532">
                  <c:v>Enterprise-Mexico-Amarilla</c:v>
                </c:pt>
                <c:pt idx="533">
                  <c:v>Government-Mexico-Amarilla</c:v>
                </c:pt>
                <c:pt idx="534">
                  <c:v>Midmarket-Mexico-Amarilla</c:v>
                </c:pt>
                <c:pt idx="535">
                  <c:v>Government-United States of America-Paseo</c:v>
                </c:pt>
                <c:pt idx="536">
                  <c:v>Government-Mexico-Carretera</c:v>
                </c:pt>
                <c:pt idx="537">
                  <c:v>Enterprise-Canada-Carretera</c:v>
                </c:pt>
                <c:pt idx="538">
                  <c:v>Enterprise-Mexico-Carretera</c:v>
                </c:pt>
                <c:pt idx="539">
                  <c:v>Midmarket-Canada-Carretera</c:v>
                </c:pt>
                <c:pt idx="540">
                  <c:v>Midmarket-United States of America-Montana</c:v>
                </c:pt>
                <c:pt idx="541">
                  <c:v>Small Business-France-Montana</c:v>
                </c:pt>
                <c:pt idx="542">
                  <c:v>Government-Mexico-Montana</c:v>
                </c:pt>
                <c:pt idx="543">
                  <c:v>Government-Canada-Montana</c:v>
                </c:pt>
                <c:pt idx="544">
                  <c:v>Government-Mexico-Montana</c:v>
                </c:pt>
                <c:pt idx="545">
                  <c:v>Small Business-France-Montana</c:v>
                </c:pt>
                <c:pt idx="546">
                  <c:v>Small Business-United States of America-Paseo</c:v>
                </c:pt>
                <c:pt idx="547">
                  <c:v>Government-Mexico-Paseo</c:v>
                </c:pt>
                <c:pt idx="548">
                  <c:v>Enterprise-Mexico-Paseo</c:v>
                </c:pt>
                <c:pt idx="549">
                  <c:v>Government-Mexico-Paseo</c:v>
                </c:pt>
                <c:pt idx="550">
                  <c:v>Government-Mexico-Paseo</c:v>
                </c:pt>
                <c:pt idx="551">
                  <c:v>Government-France-Paseo</c:v>
                </c:pt>
                <c:pt idx="552">
                  <c:v>Small Business-Germany-Paseo</c:v>
                </c:pt>
                <c:pt idx="553">
                  <c:v>Small Business-Mexico-Paseo</c:v>
                </c:pt>
                <c:pt idx="554">
                  <c:v>Government-Mexico-Paseo</c:v>
                </c:pt>
                <c:pt idx="555">
                  <c:v>Midmarket-Mexico-Paseo</c:v>
                </c:pt>
                <c:pt idx="556">
                  <c:v>Government-Mexico-Paseo</c:v>
                </c:pt>
                <c:pt idx="557">
                  <c:v>Government-Mexico-Velo</c:v>
                </c:pt>
                <c:pt idx="558">
                  <c:v>Government-United States of America-Velo</c:v>
                </c:pt>
                <c:pt idx="559">
                  <c:v>Government-Mexico-Velo</c:v>
                </c:pt>
                <c:pt idx="560">
                  <c:v>Channel Partners-Canada-VTT</c:v>
                </c:pt>
                <c:pt idx="561">
                  <c:v>Midmarket-France-VTT</c:v>
                </c:pt>
                <c:pt idx="562">
                  <c:v>Government-Canada-VTT</c:v>
                </c:pt>
                <c:pt idx="563">
                  <c:v>Government-United States of America-VTT</c:v>
                </c:pt>
                <c:pt idx="564">
                  <c:v>Enterprise-United States of America-VTT</c:v>
                </c:pt>
                <c:pt idx="565">
                  <c:v>Government-Mexico-VTT</c:v>
                </c:pt>
                <c:pt idx="566">
                  <c:v>Government-United States of America-Amarilla</c:v>
                </c:pt>
                <c:pt idx="567">
                  <c:v>Government-France-Amarilla</c:v>
                </c:pt>
                <c:pt idx="568">
                  <c:v>Government-Canada-Amarilla</c:v>
                </c:pt>
                <c:pt idx="569">
                  <c:v>Midmarket-United States of America-Amarilla</c:v>
                </c:pt>
                <c:pt idx="570">
                  <c:v>Government-France-Carretera</c:v>
                </c:pt>
                <c:pt idx="571">
                  <c:v>Channel Partners-Mexico-Montana</c:v>
                </c:pt>
                <c:pt idx="572">
                  <c:v>Government-Germany-Paseo</c:v>
                </c:pt>
                <c:pt idx="573">
                  <c:v>Government-France-VTT</c:v>
                </c:pt>
                <c:pt idx="574">
                  <c:v>Government-Germany-VTT</c:v>
                </c:pt>
                <c:pt idx="575">
                  <c:v>Channel Partners-Canada-Amarilla</c:v>
                </c:pt>
                <c:pt idx="576">
                  <c:v>Midmarket-United States of America-Carretera</c:v>
                </c:pt>
                <c:pt idx="577">
                  <c:v>Midmarket-United States of America-VTT</c:v>
                </c:pt>
                <c:pt idx="578">
                  <c:v>Government-Canada-Carretera</c:v>
                </c:pt>
                <c:pt idx="579">
                  <c:v>Government-France-Carretera</c:v>
                </c:pt>
                <c:pt idx="580">
                  <c:v>Government-Germany-Carretera</c:v>
                </c:pt>
                <c:pt idx="581">
                  <c:v>Government-United States of America-Montana</c:v>
                </c:pt>
                <c:pt idx="582">
                  <c:v>Government-United States of America-Montana</c:v>
                </c:pt>
                <c:pt idx="583">
                  <c:v>Channel Partners-Mexico-Montana</c:v>
                </c:pt>
                <c:pt idx="584">
                  <c:v>Government-Mexico-Montana</c:v>
                </c:pt>
                <c:pt idx="585">
                  <c:v>Government-Canada-Montana</c:v>
                </c:pt>
                <c:pt idx="586">
                  <c:v>Government-United States of America-Paseo</c:v>
                </c:pt>
                <c:pt idx="587">
                  <c:v>Small Business-Germany-Paseo</c:v>
                </c:pt>
                <c:pt idx="588">
                  <c:v>Government-United States of America-Paseo</c:v>
                </c:pt>
                <c:pt idx="589">
                  <c:v>Government-Germany-Paseo</c:v>
                </c:pt>
                <c:pt idx="590">
                  <c:v>Government-Canada-Paseo</c:v>
                </c:pt>
                <c:pt idx="591">
                  <c:v>Enterprise-Canada-Paseo</c:v>
                </c:pt>
                <c:pt idx="592">
                  <c:v>Channel Partners-Mexico-Paseo</c:v>
                </c:pt>
                <c:pt idx="593">
                  <c:v>Government-France-Paseo</c:v>
                </c:pt>
                <c:pt idx="594">
                  <c:v>Midmarket-Canada-Paseo</c:v>
                </c:pt>
                <c:pt idx="595">
                  <c:v>Government-Canada-Paseo</c:v>
                </c:pt>
                <c:pt idx="596">
                  <c:v>Government-Germany-Paseo</c:v>
                </c:pt>
                <c:pt idx="597">
                  <c:v>Channel Partners-Germany-Paseo</c:v>
                </c:pt>
                <c:pt idx="598">
                  <c:v>Midmarket-France-Velo</c:v>
                </c:pt>
                <c:pt idx="599">
                  <c:v>Government-Canada-Velo</c:v>
                </c:pt>
                <c:pt idx="600">
                  <c:v>Government-France-Velo</c:v>
                </c:pt>
                <c:pt idx="601">
                  <c:v>Channel Partners-Mexico-Velo</c:v>
                </c:pt>
                <c:pt idx="602">
                  <c:v>Midmarket-Germany-Velo</c:v>
                </c:pt>
                <c:pt idx="603">
                  <c:v>Channel Partners-Mexico-Velo</c:v>
                </c:pt>
                <c:pt idx="604">
                  <c:v>Small Business-Mexico-Velo</c:v>
                </c:pt>
                <c:pt idx="605">
                  <c:v>Channel Partners-Germany-Velo</c:v>
                </c:pt>
                <c:pt idx="606">
                  <c:v>Enterprise-Canada-VTT</c:v>
                </c:pt>
                <c:pt idx="607">
                  <c:v>Midmarket-Canada-VTT</c:v>
                </c:pt>
                <c:pt idx="608">
                  <c:v>Enterprise-Canada-Amarilla</c:v>
                </c:pt>
                <c:pt idx="609">
                  <c:v>Government-France-Amarilla</c:v>
                </c:pt>
                <c:pt idx="610">
                  <c:v>Channel Partners-Mexico-Amarilla</c:v>
                </c:pt>
                <c:pt idx="611">
                  <c:v>Channel Partners-Germany-Amarilla</c:v>
                </c:pt>
                <c:pt idx="612">
                  <c:v>Government-Mexico-Carretera</c:v>
                </c:pt>
                <c:pt idx="613">
                  <c:v>Government-United States of America-Carretera</c:v>
                </c:pt>
                <c:pt idx="614">
                  <c:v>Government-United States of America-Carretera</c:v>
                </c:pt>
                <c:pt idx="615">
                  <c:v>Government-Germany-Carretera</c:v>
                </c:pt>
                <c:pt idx="616">
                  <c:v>Government-France-Montana</c:v>
                </c:pt>
                <c:pt idx="617">
                  <c:v>Government-United States of America-Montana</c:v>
                </c:pt>
                <c:pt idx="618">
                  <c:v>Midmarket-Germany-Paseo</c:v>
                </c:pt>
                <c:pt idx="619">
                  <c:v>Government-Canada-Paseo</c:v>
                </c:pt>
                <c:pt idx="620">
                  <c:v>Midmarket-United States of America-Paseo</c:v>
                </c:pt>
                <c:pt idx="621">
                  <c:v>Channel Partners-France-Paseo</c:v>
                </c:pt>
                <c:pt idx="622">
                  <c:v>Government-Germany-VTT</c:v>
                </c:pt>
                <c:pt idx="623">
                  <c:v>Channel Partners-France-Amarilla</c:v>
                </c:pt>
                <c:pt idx="624">
                  <c:v>Channel Partners-United States of America-Amarilla</c:v>
                </c:pt>
                <c:pt idx="625">
                  <c:v>Small Business-Mexico-Carretera</c:v>
                </c:pt>
                <c:pt idx="626">
                  <c:v>Enterprise-France-Carretera</c:v>
                </c:pt>
                <c:pt idx="627">
                  <c:v>Small Business-Canada-Carretera</c:v>
                </c:pt>
                <c:pt idx="628">
                  <c:v>Small Business-United States of America-Carretera</c:v>
                </c:pt>
                <c:pt idx="629">
                  <c:v>Midmarket-Germany-Carretera</c:v>
                </c:pt>
                <c:pt idx="630">
                  <c:v>Midmarket-Canada-Carretera</c:v>
                </c:pt>
                <c:pt idx="631">
                  <c:v>Enterprise-Mexico-Carretera</c:v>
                </c:pt>
                <c:pt idx="632">
                  <c:v>Government-Canada-Montana</c:v>
                </c:pt>
                <c:pt idx="633">
                  <c:v>Government-Germany-Montana</c:v>
                </c:pt>
                <c:pt idx="634">
                  <c:v>Government-Canada-Montana</c:v>
                </c:pt>
                <c:pt idx="635">
                  <c:v>Government-Canada-Montana</c:v>
                </c:pt>
                <c:pt idx="636">
                  <c:v>Government-Mexico-Montana</c:v>
                </c:pt>
                <c:pt idx="637">
                  <c:v>Midmarket-Canada-Montana</c:v>
                </c:pt>
                <c:pt idx="638">
                  <c:v>Government-Mexico-Paseo</c:v>
                </c:pt>
                <c:pt idx="639">
                  <c:v>Midmarket-Canada-Paseo</c:v>
                </c:pt>
                <c:pt idx="640">
                  <c:v>Midmarket-Canada-Paseo</c:v>
                </c:pt>
                <c:pt idx="641">
                  <c:v>Channel Partners-United States of America-Paseo</c:v>
                </c:pt>
                <c:pt idx="642">
                  <c:v>Government-France-Paseo</c:v>
                </c:pt>
                <c:pt idx="643">
                  <c:v>Government-Canada-Paseo</c:v>
                </c:pt>
                <c:pt idx="644">
                  <c:v>Channel Partners-Canada-Paseo</c:v>
                </c:pt>
                <c:pt idx="645">
                  <c:v>Government-United States of America-Paseo</c:v>
                </c:pt>
                <c:pt idx="646">
                  <c:v>Government-France-Paseo</c:v>
                </c:pt>
                <c:pt idx="647">
                  <c:v>Enterprise-Mexico-Velo</c:v>
                </c:pt>
                <c:pt idx="648">
                  <c:v>Government-United States of America-Velo</c:v>
                </c:pt>
                <c:pt idx="649">
                  <c:v>Small Business-United States of America-Velo</c:v>
                </c:pt>
                <c:pt idx="650">
                  <c:v>Small Business-Canada-Velo</c:v>
                </c:pt>
                <c:pt idx="651">
                  <c:v>Small Business-Germany-Velo</c:v>
                </c:pt>
                <c:pt idx="652">
                  <c:v>Government-Mexico-VTT</c:v>
                </c:pt>
                <c:pt idx="653">
                  <c:v>Small Business-United States of America-VTT</c:v>
                </c:pt>
                <c:pt idx="654">
                  <c:v>Small Business-Canada-VTT</c:v>
                </c:pt>
                <c:pt idx="655">
                  <c:v>Small Business-Canada-VTT</c:v>
                </c:pt>
                <c:pt idx="656">
                  <c:v>Small Business-United States of America-VTT</c:v>
                </c:pt>
                <c:pt idx="657">
                  <c:v>Government-France-VTT</c:v>
                </c:pt>
                <c:pt idx="658">
                  <c:v>Small Business-Canada-Amarilla</c:v>
                </c:pt>
                <c:pt idx="659">
                  <c:v>Enterprise-United States of America-Amarilla</c:v>
                </c:pt>
                <c:pt idx="660">
                  <c:v>Channel Partners-France-Amarilla</c:v>
                </c:pt>
                <c:pt idx="661">
                  <c:v>Midmarket-Canada-Amarilla</c:v>
                </c:pt>
                <c:pt idx="662">
                  <c:v>Channel Partners-United States of America-Amarilla</c:v>
                </c:pt>
                <c:pt idx="663">
                  <c:v>Government-France-Amarilla</c:v>
                </c:pt>
                <c:pt idx="664">
                  <c:v>Government-Mexico-Amarilla</c:v>
                </c:pt>
                <c:pt idx="665">
                  <c:v>Midmarket-Mexico-Amarilla</c:v>
                </c:pt>
                <c:pt idx="666">
                  <c:v>Enterprise-France-Carretera</c:v>
                </c:pt>
                <c:pt idx="667">
                  <c:v>Enterprise-Germany-Carretera</c:v>
                </c:pt>
                <c:pt idx="668">
                  <c:v>Enterprise-Germany-Carretera</c:v>
                </c:pt>
                <c:pt idx="669">
                  <c:v>Small Business-Mexico-Montana</c:v>
                </c:pt>
                <c:pt idx="670">
                  <c:v>Government-Germany-Paseo</c:v>
                </c:pt>
                <c:pt idx="671">
                  <c:v>Midmarket-Canada-Paseo</c:v>
                </c:pt>
                <c:pt idx="672">
                  <c:v>Government-Mexico-Paseo</c:v>
                </c:pt>
                <c:pt idx="673">
                  <c:v>Government-Mexico-Paseo</c:v>
                </c:pt>
                <c:pt idx="674">
                  <c:v>Midmarket-Canada-Paseo</c:v>
                </c:pt>
                <c:pt idx="675">
                  <c:v>Government-United States of America-Paseo</c:v>
                </c:pt>
                <c:pt idx="676">
                  <c:v>Enterprise-Germany-Paseo</c:v>
                </c:pt>
                <c:pt idx="677">
                  <c:v>Midmarket-Germany-Paseo</c:v>
                </c:pt>
                <c:pt idx="678">
                  <c:v>Government-United States of America-Paseo</c:v>
                </c:pt>
                <c:pt idx="679">
                  <c:v>Government-Mexico-Paseo</c:v>
                </c:pt>
                <c:pt idx="680">
                  <c:v>Channel Partners-United States of America-Paseo</c:v>
                </c:pt>
                <c:pt idx="681">
                  <c:v>Government-France-Paseo</c:v>
                </c:pt>
                <c:pt idx="682">
                  <c:v>Channel Partners-Mexico-Velo</c:v>
                </c:pt>
                <c:pt idx="683">
                  <c:v>Midmarket-France-Velo</c:v>
                </c:pt>
                <c:pt idx="684">
                  <c:v>Enterprise-France-Velo</c:v>
                </c:pt>
                <c:pt idx="685">
                  <c:v>Small Business-United States of America-Velo</c:v>
                </c:pt>
                <c:pt idx="686">
                  <c:v>Enterprise-United States of America-Velo</c:v>
                </c:pt>
                <c:pt idx="687">
                  <c:v>Channel Partners-United States of America-Velo</c:v>
                </c:pt>
                <c:pt idx="688">
                  <c:v>Government-Canada-VTT</c:v>
                </c:pt>
                <c:pt idx="689">
                  <c:v>Midmarket-Germany-VTT</c:v>
                </c:pt>
                <c:pt idx="690">
                  <c:v>Government-United States of America-VTT</c:v>
                </c:pt>
                <c:pt idx="691">
                  <c:v>Midmarket-Germany-VTT</c:v>
                </c:pt>
                <c:pt idx="692">
                  <c:v>Enterprise-Canada-VTT</c:v>
                </c:pt>
                <c:pt idx="693">
                  <c:v>Enterprise-Germany-VTT</c:v>
                </c:pt>
                <c:pt idx="694">
                  <c:v>Government-France-VTT</c:v>
                </c:pt>
                <c:pt idx="695">
                  <c:v>Small Business-France-Amarilla</c:v>
                </c:pt>
                <c:pt idx="696">
                  <c:v>Small Business-Mexico-Amarilla</c:v>
                </c:pt>
                <c:pt idx="697">
                  <c:v>Government-Mexico-Montana</c:v>
                </c:pt>
                <c:pt idx="698">
                  <c:v>Government-Canada-Paseo</c:v>
                </c:pt>
                <c:pt idx="699">
                  <c:v>Channel Partners-United States of America-VTT</c:v>
                </c:pt>
              </c:strCache>
            </c:strRef>
          </c:xVal>
          <c:yVal>
            <c:numRef>
              <c:f>Sheet1!$D$4:$D$703</c:f>
              <c:numCache>
                <c:formatCode>"$"#,##0.00</c:formatCode>
                <c:ptCount val="700"/>
                <c:pt idx="0">
                  <c:v>3</c:v>
                </c:pt>
                <c:pt idx="1">
                  <c:v>3</c:v>
                </c:pt>
                <c:pt idx="2">
                  <c:v>3</c:v>
                </c:pt>
                <c:pt idx="3">
                  <c:v>3</c:v>
                </c:pt>
                <c:pt idx="4">
                  <c:v>3</c:v>
                </c:pt>
                <c:pt idx="5">
                  <c:v>3</c:v>
                </c:pt>
                <c:pt idx="6">
                  <c:v>5</c:v>
                </c:pt>
                <c:pt idx="7">
                  <c:v>5</c:v>
                </c:pt>
                <c:pt idx="8">
                  <c:v>5</c:v>
                </c:pt>
                <c:pt idx="9">
                  <c:v>5</c:v>
                </c:pt>
                <c:pt idx="10">
                  <c:v>5</c:v>
                </c:pt>
                <c:pt idx="11">
                  <c:v>5</c:v>
                </c:pt>
                <c:pt idx="12">
                  <c:v>5</c:v>
                </c:pt>
                <c:pt idx="13">
                  <c:v>5</c:v>
                </c:pt>
                <c:pt idx="14">
                  <c:v>5</c:v>
                </c:pt>
                <c:pt idx="15">
                  <c:v>5</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120</c:v>
                </c:pt>
                <c:pt idx="32">
                  <c:v>120</c:v>
                </c:pt>
                <c:pt idx="33">
                  <c:v>120</c:v>
                </c:pt>
                <c:pt idx="34">
                  <c:v>120</c:v>
                </c:pt>
                <c:pt idx="35">
                  <c:v>120</c:v>
                </c:pt>
                <c:pt idx="36">
                  <c:v>120</c:v>
                </c:pt>
                <c:pt idx="37">
                  <c:v>120</c:v>
                </c:pt>
                <c:pt idx="38">
                  <c:v>250</c:v>
                </c:pt>
                <c:pt idx="39">
                  <c:v>250</c:v>
                </c:pt>
                <c:pt idx="40">
                  <c:v>250</c:v>
                </c:pt>
                <c:pt idx="41">
                  <c:v>250</c:v>
                </c:pt>
                <c:pt idx="42">
                  <c:v>250</c:v>
                </c:pt>
                <c:pt idx="43">
                  <c:v>250</c:v>
                </c:pt>
                <c:pt idx="44">
                  <c:v>250</c:v>
                </c:pt>
                <c:pt idx="45">
                  <c:v>260</c:v>
                </c:pt>
                <c:pt idx="46">
                  <c:v>260</c:v>
                </c:pt>
                <c:pt idx="47">
                  <c:v>260</c:v>
                </c:pt>
                <c:pt idx="48">
                  <c:v>260</c:v>
                </c:pt>
                <c:pt idx="49">
                  <c:v>260</c:v>
                </c:pt>
                <c:pt idx="50">
                  <c:v>260</c:v>
                </c:pt>
                <c:pt idx="51">
                  <c:v>260</c:v>
                </c:pt>
                <c:pt idx="52">
                  <c:v>260</c:v>
                </c:pt>
                <c:pt idx="53">
                  <c:v>10</c:v>
                </c:pt>
                <c:pt idx="54">
                  <c:v>10</c:v>
                </c:pt>
                <c:pt idx="55">
                  <c:v>10</c:v>
                </c:pt>
                <c:pt idx="56">
                  <c:v>120</c:v>
                </c:pt>
                <c:pt idx="57">
                  <c:v>250</c:v>
                </c:pt>
                <c:pt idx="58">
                  <c:v>3</c:v>
                </c:pt>
                <c:pt idx="59">
                  <c:v>3</c:v>
                </c:pt>
                <c:pt idx="60">
                  <c:v>3</c:v>
                </c:pt>
                <c:pt idx="61">
                  <c:v>3</c:v>
                </c:pt>
                <c:pt idx="62">
                  <c:v>3</c:v>
                </c:pt>
                <c:pt idx="63">
                  <c:v>3</c:v>
                </c:pt>
                <c:pt idx="64">
                  <c:v>3</c:v>
                </c:pt>
                <c:pt idx="65">
                  <c:v>3</c:v>
                </c:pt>
                <c:pt idx="66">
                  <c:v>3</c:v>
                </c:pt>
                <c:pt idx="67">
                  <c:v>3</c:v>
                </c:pt>
                <c:pt idx="68">
                  <c:v>5</c:v>
                </c:pt>
                <c:pt idx="69">
                  <c:v>5</c:v>
                </c:pt>
                <c:pt idx="70">
                  <c:v>5</c:v>
                </c:pt>
                <c:pt idx="71">
                  <c:v>5</c:v>
                </c:pt>
                <c:pt idx="72">
                  <c:v>5</c:v>
                </c:pt>
                <c:pt idx="73">
                  <c:v>5</c:v>
                </c:pt>
                <c:pt idx="74">
                  <c:v>10</c:v>
                </c:pt>
                <c:pt idx="75">
                  <c:v>10</c:v>
                </c:pt>
                <c:pt idx="76">
                  <c:v>10</c:v>
                </c:pt>
                <c:pt idx="77">
                  <c:v>10</c:v>
                </c:pt>
                <c:pt idx="78">
                  <c:v>10</c:v>
                </c:pt>
                <c:pt idx="79">
                  <c:v>10</c:v>
                </c:pt>
                <c:pt idx="80">
                  <c:v>10</c:v>
                </c:pt>
                <c:pt idx="81">
                  <c:v>10</c:v>
                </c:pt>
                <c:pt idx="82">
                  <c:v>10</c:v>
                </c:pt>
                <c:pt idx="83">
                  <c:v>120</c:v>
                </c:pt>
                <c:pt idx="84">
                  <c:v>120</c:v>
                </c:pt>
                <c:pt idx="85">
                  <c:v>120</c:v>
                </c:pt>
                <c:pt idx="86">
                  <c:v>120</c:v>
                </c:pt>
                <c:pt idx="87">
                  <c:v>120</c:v>
                </c:pt>
                <c:pt idx="88">
                  <c:v>250</c:v>
                </c:pt>
                <c:pt idx="89">
                  <c:v>250</c:v>
                </c:pt>
                <c:pt idx="90">
                  <c:v>250</c:v>
                </c:pt>
                <c:pt idx="91">
                  <c:v>250</c:v>
                </c:pt>
                <c:pt idx="92">
                  <c:v>250</c:v>
                </c:pt>
                <c:pt idx="93">
                  <c:v>250</c:v>
                </c:pt>
                <c:pt idx="94">
                  <c:v>250</c:v>
                </c:pt>
                <c:pt idx="95">
                  <c:v>250</c:v>
                </c:pt>
                <c:pt idx="96">
                  <c:v>260</c:v>
                </c:pt>
                <c:pt idx="97">
                  <c:v>260</c:v>
                </c:pt>
                <c:pt idx="98">
                  <c:v>3</c:v>
                </c:pt>
                <c:pt idx="99">
                  <c:v>3</c:v>
                </c:pt>
                <c:pt idx="100">
                  <c:v>3</c:v>
                </c:pt>
                <c:pt idx="101">
                  <c:v>3</c:v>
                </c:pt>
                <c:pt idx="102">
                  <c:v>3</c:v>
                </c:pt>
                <c:pt idx="103">
                  <c:v>5</c:v>
                </c:pt>
                <c:pt idx="104">
                  <c:v>5</c:v>
                </c:pt>
                <c:pt idx="105">
                  <c:v>5</c:v>
                </c:pt>
                <c:pt idx="106">
                  <c:v>5</c:v>
                </c:pt>
                <c:pt idx="107">
                  <c:v>10</c:v>
                </c:pt>
                <c:pt idx="108">
                  <c:v>10</c:v>
                </c:pt>
                <c:pt idx="109">
                  <c:v>10</c:v>
                </c:pt>
                <c:pt idx="110">
                  <c:v>10</c:v>
                </c:pt>
                <c:pt idx="111">
                  <c:v>10</c:v>
                </c:pt>
                <c:pt idx="112">
                  <c:v>10</c:v>
                </c:pt>
                <c:pt idx="113">
                  <c:v>10</c:v>
                </c:pt>
                <c:pt idx="114">
                  <c:v>10</c:v>
                </c:pt>
                <c:pt idx="115">
                  <c:v>10</c:v>
                </c:pt>
                <c:pt idx="116">
                  <c:v>10</c:v>
                </c:pt>
                <c:pt idx="117">
                  <c:v>10</c:v>
                </c:pt>
                <c:pt idx="118">
                  <c:v>10</c:v>
                </c:pt>
                <c:pt idx="119">
                  <c:v>10</c:v>
                </c:pt>
                <c:pt idx="120">
                  <c:v>10</c:v>
                </c:pt>
                <c:pt idx="121">
                  <c:v>10</c:v>
                </c:pt>
                <c:pt idx="122">
                  <c:v>10</c:v>
                </c:pt>
                <c:pt idx="123">
                  <c:v>120</c:v>
                </c:pt>
                <c:pt idx="124">
                  <c:v>120</c:v>
                </c:pt>
                <c:pt idx="125">
                  <c:v>120</c:v>
                </c:pt>
                <c:pt idx="126">
                  <c:v>120</c:v>
                </c:pt>
                <c:pt idx="127">
                  <c:v>120</c:v>
                </c:pt>
                <c:pt idx="128">
                  <c:v>120</c:v>
                </c:pt>
                <c:pt idx="129">
                  <c:v>120</c:v>
                </c:pt>
                <c:pt idx="130">
                  <c:v>120</c:v>
                </c:pt>
                <c:pt idx="131">
                  <c:v>250</c:v>
                </c:pt>
                <c:pt idx="132">
                  <c:v>250</c:v>
                </c:pt>
                <c:pt idx="133">
                  <c:v>250</c:v>
                </c:pt>
                <c:pt idx="134">
                  <c:v>250</c:v>
                </c:pt>
                <c:pt idx="135">
                  <c:v>250</c:v>
                </c:pt>
                <c:pt idx="136">
                  <c:v>250</c:v>
                </c:pt>
                <c:pt idx="137">
                  <c:v>260</c:v>
                </c:pt>
                <c:pt idx="138">
                  <c:v>260</c:v>
                </c:pt>
                <c:pt idx="139">
                  <c:v>260</c:v>
                </c:pt>
                <c:pt idx="140">
                  <c:v>260</c:v>
                </c:pt>
                <c:pt idx="141">
                  <c:v>260</c:v>
                </c:pt>
                <c:pt idx="142">
                  <c:v>260</c:v>
                </c:pt>
                <c:pt idx="143">
                  <c:v>260</c:v>
                </c:pt>
                <c:pt idx="144">
                  <c:v>3</c:v>
                </c:pt>
                <c:pt idx="145">
                  <c:v>3</c:v>
                </c:pt>
                <c:pt idx="146">
                  <c:v>3</c:v>
                </c:pt>
                <c:pt idx="147">
                  <c:v>3</c:v>
                </c:pt>
                <c:pt idx="148">
                  <c:v>3</c:v>
                </c:pt>
                <c:pt idx="149">
                  <c:v>5</c:v>
                </c:pt>
                <c:pt idx="150">
                  <c:v>5</c:v>
                </c:pt>
                <c:pt idx="151">
                  <c:v>5</c:v>
                </c:pt>
                <c:pt idx="152">
                  <c:v>5</c:v>
                </c:pt>
                <c:pt idx="153">
                  <c:v>5</c:v>
                </c:pt>
                <c:pt idx="154">
                  <c:v>5</c:v>
                </c:pt>
                <c:pt idx="155">
                  <c:v>10</c:v>
                </c:pt>
                <c:pt idx="156">
                  <c:v>10</c:v>
                </c:pt>
                <c:pt idx="157">
                  <c:v>10</c:v>
                </c:pt>
                <c:pt idx="158">
                  <c:v>10</c:v>
                </c:pt>
                <c:pt idx="159">
                  <c:v>10</c:v>
                </c:pt>
                <c:pt idx="160">
                  <c:v>10</c:v>
                </c:pt>
                <c:pt idx="161">
                  <c:v>10</c:v>
                </c:pt>
                <c:pt idx="162">
                  <c:v>10</c:v>
                </c:pt>
                <c:pt idx="163">
                  <c:v>10</c:v>
                </c:pt>
                <c:pt idx="164">
                  <c:v>10</c:v>
                </c:pt>
                <c:pt idx="165">
                  <c:v>120</c:v>
                </c:pt>
                <c:pt idx="166">
                  <c:v>250</c:v>
                </c:pt>
                <c:pt idx="167">
                  <c:v>250</c:v>
                </c:pt>
                <c:pt idx="168">
                  <c:v>250</c:v>
                </c:pt>
                <c:pt idx="169">
                  <c:v>250</c:v>
                </c:pt>
                <c:pt idx="170">
                  <c:v>250</c:v>
                </c:pt>
                <c:pt idx="171">
                  <c:v>250</c:v>
                </c:pt>
                <c:pt idx="172">
                  <c:v>3</c:v>
                </c:pt>
                <c:pt idx="173">
                  <c:v>10</c:v>
                </c:pt>
                <c:pt idx="174">
                  <c:v>120</c:v>
                </c:pt>
                <c:pt idx="175">
                  <c:v>250</c:v>
                </c:pt>
                <c:pt idx="176">
                  <c:v>5</c:v>
                </c:pt>
                <c:pt idx="177">
                  <c:v>10</c:v>
                </c:pt>
                <c:pt idx="178">
                  <c:v>10</c:v>
                </c:pt>
                <c:pt idx="179">
                  <c:v>120</c:v>
                </c:pt>
                <c:pt idx="180">
                  <c:v>3</c:v>
                </c:pt>
                <c:pt idx="181">
                  <c:v>3</c:v>
                </c:pt>
                <c:pt idx="182">
                  <c:v>3</c:v>
                </c:pt>
                <c:pt idx="183">
                  <c:v>5</c:v>
                </c:pt>
                <c:pt idx="184">
                  <c:v>5</c:v>
                </c:pt>
                <c:pt idx="185">
                  <c:v>5</c:v>
                </c:pt>
                <c:pt idx="186">
                  <c:v>5</c:v>
                </c:pt>
                <c:pt idx="187">
                  <c:v>5</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10</c:v>
                </c:pt>
                <c:pt idx="201">
                  <c:v>120</c:v>
                </c:pt>
                <c:pt idx="202">
                  <c:v>120</c:v>
                </c:pt>
                <c:pt idx="203">
                  <c:v>120</c:v>
                </c:pt>
                <c:pt idx="204">
                  <c:v>250</c:v>
                </c:pt>
                <c:pt idx="205">
                  <c:v>250</c:v>
                </c:pt>
                <c:pt idx="206">
                  <c:v>250</c:v>
                </c:pt>
                <c:pt idx="207">
                  <c:v>250</c:v>
                </c:pt>
                <c:pt idx="208">
                  <c:v>260</c:v>
                </c:pt>
                <c:pt idx="209">
                  <c:v>260</c:v>
                </c:pt>
                <c:pt idx="210">
                  <c:v>260</c:v>
                </c:pt>
                <c:pt idx="211">
                  <c:v>260</c:v>
                </c:pt>
                <c:pt idx="212">
                  <c:v>260</c:v>
                </c:pt>
                <c:pt idx="213">
                  <c:v>5</c:v>
                </c:pt>
                <c:pt idx="214">
                  <c:v>10</c:v>
                </c:pt>
                <c:pt idx="215">
                  <c:v>10</c:v>
                </c:pt>
                <c:pt idx="216">
                  <c:v>10</c:v>
                </c:pt>
                <c:pt idx="217">
                  <c:v>10</c:v>
                </c:pt>
                <c:pt idx="218">
                  <c:v>120</c:v>
                </c:pt>
                <c:pt idx="219">
                  <c:v>250</c:v>
                </c:pt>
                <c:pt idx="220">
                  <c:v>260</c:v>
                </c:pt>
                <c:pt idx="221">
                  <c:v>260</c:v>
                </c:pt>
                <c:pt idx="222">
                  <c:v>260</c:v>
                </c:pt>
                <c:pt idx="223">
                  <c:v>3</c:v>
                </c:pt>
                <c:pt idx="224">
                  <c:v>3</c:v>
                </c:pt>
                <c:pt idx="225">
                  <c:v>3</c:v>
                </c:pt>
                <c:pt idx="226">
                  <c:v>3</c:v>
                </c:pt>
                <c:pt idx="227">
                  <c:v>3</c:v>
                </c:pt>
                <c:pt idx="228">
                  <c:v>3</c:v>
                </c:pt>
                <c:pt idx="229">
                  <c:v>3</c:v>
                </c:pt>
                <c:pt idx="230">
                  <c:v>3</c:v>
                </c:pt>
                <c:pt idx="231">
                  <c:v>5</c:v>
                </c:pt>
                <c:pt idx="232">
                  <c:v>5</c:v>
                </c:pt>
                <c:pt idx="233">
                  <c:v>5</c:v>
                </c:pt>
                <c:pt idx="234">
                  <c:v>5</c:v>
                </c:pt>
                <c:pt idx="235">
                  <c:v>5</c:v>
                </c:pt>
                <c:pt idx="236">
                  <c:v>10</c:v>
                </c:pt>
                <c:pt idx="237">
                  <c:v>10</c:v>
                </c:pt>
                <c:pt idx="238">
                  <c:v>10</c:v>
                </c:pt>
                <c:pt idx="239">
                  <c:v>10</c:v>
                </c:pt>
                <c:pt idx="240">
                  <c:v>10</c:v>
                </c:pt>
                <c:pt idx="241">
                  <c:v>10</c:v>
                </c:pt>
                <c:pt idx="242">
                  <c:v>10</c:v>
                </c:pt>
                <c:pt idx="243">
                  <c:v>10</c:v>
                </c:pt>
                <c:pt idx="244">
                  <c:v>10</c:v>
                </c:pt>
                <c:pt idx="245">
                  <c:v>10</c:v>
                </c:pt>
                <c:pt idx="246">
                  <c:v>10</c:v>
                </c:pt>
                <c:pt idx="247">
                  <c:v>10</c:v>
                </c:pt>
                <c:pt idx="248">
                  <c:v>10</c:v>
                </c:pt>
                <c:pt idx="249">
                  <c:v>10</c:v>
                </c:pt>
                <c:pt idx="250">
                  <c:v>10</c:v>
                </c:pt>
                <c:pt idx="251">
                  <c:v>10</c:v>
                </c:pt>
                <c:pt idx="252">
                  <c:v>120</c:v>
                </c:pt>
                <c:pt idx="253">
                  <c:v>120</c:v>
                </c:pt>
                <c:pt idx="254">
                  <c:v>120</c:v>
                </c:pt>
                <c:pt idx="255">
                  <c:v>120</c:v>
                </c:pt>
                <c:pt idx="256">
                  <c:v>120</c:v>
                </c:pt>
                <c:pt idx="257">
                  <c:v>120</c:v>
                </c:pt>
                <c:pt idx="258">
                  <c:v>120</c:v>
                </c:pt>
                <c:pt idx="259">
                  <c:v>120</c:v>
                </c:pt>
                <c:pt idx="260">
                  <c:v>120</c:v>
                </c:pt>
                <c:pt idx="261">
                  <c:v>120</c:v>
                </c:pt>
                <c:pt idx="262">
                  <c:v>250</c:v>
                </c:pt>
                <c:pt idx="263">
                  <c:v>250</c:v>
                </c:pt>
                <c:pt idx="264">
                  <c:v>250</c:v>
                </c:pt>
                <c:pt idx="265">
                  <c:v>250</c:v>
                </c:pt>
                <c:pt idx="266">
                  <c:v>250</c:v>
                </c:pt>
                <c:pt idx="267">
                  <c:v>250</c:v>
                </c:pt>
                <c:pt idx="268">
                  <c:v>260</c:v>
                </c:pt>
                <c:pt idx="269">
                  <c:v>260</c:v>
                </c:pt>
                <c:pt idx="270">
                  <c:v>260</c:v>
                </c:pt>
                <c:pt idx="271">
                  <c:v>260</c:v>
                </c:pt>
                <c:pt idx="272">
                  <c:v>10</c:v>
                </c:pt>
                <c:pt idx="273">
                  <c:v>3</c:v>
                </c:pt>
                <c:pt idx="274">
                  <c:v>3</c:v>
                </c:pt>
                <c:pt idx="275">
                  <c:v>3</c:v>
                </c:pt>
                <c:pt idx="276">
                  <c:v>3</c:v>
                </c:pt>
                <c:pt idx="277">
                  <c:v>3</c:v>
                </c:pt>
                <c:pt idx="278">
                  <c:v>3</c:v>
                </c:pt>
                <c:pt idx="279">
                  <c:v>3</c:v>
                </c:pt>
                <c:pt idx="280">
                  <c:v>5</c:v>
                </c:pt>
                <c:pt idx="281">
                  <c:v>5</c:v>
                </c:pt>
                <c:pt idx="282">
                  <c:v>5</c:v>
                </c:pt>
                <c:pt idx="283">
                  <c:v>5</c:v>
                </c:pt>
                <c:pt idx="284">
                  <c:v>10</c:v>
                </c:pt>
                <c:pt idx="285">
                  <c:v>10</c:v>
                </c:pt>
                <c:pt idx="286">
                  <c:v>10</c:v>
                </c:pt>
                <c:pt idx="287">
                  <c:v>120</c:v>
                </c:pt>
                <c:pt idx="288">
                  <c:v>120</c:v>
                </c:pt>
                <c:pt idx="289">
                  <c:v>120</c:v>
                </c:pt>
                <c:pt idx="290">
                  <c:v>120</c:v>
                </c:pt>
                <c:pt idx="291">
                  <c:v>120</c:v>
                </c:pt>
                <c:pt idx="292">
                  <c:v>120</c:v>
                </c:pt>
                <c:pt idx="293">
                  <c:v>120</c:v>
                </c:pt>
                <c:pt idx="294">
                  <c:v>250</c:v>
                </c:pt>
                <c:pt idx="295">
                  <c:v>250</c:v>
                </c:pt>
                <c:pt idx="296">
                  <c:v>250</c:v>
                </c:pt>
                <c:pt idx="297">
                  <c:v>250</c:v>
                </c:pt>
                <c:pt idx="298">
                  <c:v>250</c:v>
                </c:pt>
                <c:pt idx="299">
                  <c:v>260</c:v>
                </c:pt>
                <c:pt idx="300">
                  <c:v>260</c:v>
                </c:pt>
                <c:pt idx="301">
                  <c:v>260</c:v>
                </c:pt>
                <c:pt idx="302">
                  <c:v>260</c:v>
                </c:pt>
                <c:pt idx="303">
                  <c:v>260</c:v>
                </c:pt>
                <c:pt idx="304">
                  <c:v>5</c:v>
                </c:pt>
                <c:pt idx="305">
                  <c:v>10</c:v>
                </c:pt>
                <c:pt idx="306">
                  <c:v>10</c:v>
                </c:pt>
                <c:pt idx="307">
                  <c:v>10</c:v>
                </c:pt>
                <c:pt idx="308">
                  <c:v>10</c:v>
                </c:pt>
                <c:pt idx="309">
                  <c:v>120</c:v>
                </c:pt>
                <c:pt idx="310">
                  <c:v>120</c:v>
                </c:pt>
                <c:pt idx="311">
                  <c:v>250</c:v>
                </c:pt>
                <c:pt idx="312">
                  <c:v>3</c:v>
                </c:pt>
                <c:pt idx="313">
                  <c:v>3</c:v>
                </c:pt>
                <c:pt idx="314">
                  <c:v>3</c:v>
                </c:pt>
                <c:pt idx="315">
                  <c:v>5</c:v>
                </c:pt>
                <c:pt idx="316">
                  <c:v>5</c:v>
                </c:pt>
                <c:pt idx="317">
                  <c:v>10</c:v>
                </c:pt>
                <c:pt idx="318">
                  <c:v>120</c:v>
                </c:pt>
                <c:pt idx="319">
                  <c:v>120</c:v>
                </c:pt>
                <c:pt idx="320">
                  <c:v>120</c:v>
                </c:pt>
                <c:pt idx="321">
                  <c:v>120</c:v>
                </c:pt>
                <c:pt idx="322">
                  <c:v>250</c:v>
                </c:pt>
                <c:pt idx="323">
                  <c:v>250</c:v>
                </c:pt>
                <c:pt idx="324">
                  <c:v>250</c:v>
                </c:pt>
                <c:pt idx="325">
                  <c:v>260</c:v>
                </c:pt>
                <c:pt idx="326">
                  <c:v>3</c:v>
                </c:pt>
                <c:pt idx="327">
                  <c:v>3</c:v>
                </c:pt>
                <c:pt idx="328">
                  <c:v>3</c:v>
                </c:pt>
                <c:pt idx="329">
                  <c:v>5</c:v>
                </c:pt>
                <c:pt idx="330">
                  <c:v>5</c:v>
                </c:pt>
                <c:pt idx="331">
                  <c:v>5</c:v>
                </c:pt>
                <c:pt idx="332">
                  <c:v>10</c:v>
                </c:pt>
                <c:pt idx="333">
                  <c:v>10</c:v>
                </c:pt>
                <c:pt idx="334">
                  <c:v>10</c:v>
                </c:pt>
                <c:pt idx="335">
                  <c:v>10</c:v>
                </c:pt>
                <c:pt idx="336">
                  <c:v>10</c:v>
                </c:pt>
                <c:pt idx="337">
                  <c:v>10</c:v>
                </c:pt>
                <c:pt idx="338">
                  <c:v>10</c:v>
                </c:pt>
                <c:pt idx="339">
                  <c:v>10</c:v>
                </c:pt>
                <c:pt idx="340">
                  <c:v>10</c:v>
                </c:pt>
                <c:pt idx="341">
                  <c:v>10</c:v>
                </c:pt>
                <c:pt idx="342">
                  <c:v>120</c:v>
                </c:pt>
                <c:pt idx="343">
                  <c:v>120</c:v>
                </c:pt>
                <c:pt idx="344">
                  <c:v>120</c:v>
                </c:pt>
                <c:pt idx="345">
                  <c:v>120</c:v>
                </c:pt>
                <c:pt idx="346">
                  <c:v>120</c:v>
                </c:pt>
                <c:pt idx="347">
                  <c:v>120</c:v>
                </c:pt>
                <c:pt idx="348">
                  <c:v>120</c:v>
                </c:pt>
                <c:pt idx="349">
                  <c:v>250</c:v>
                </c:pt>
                <c:pt idx="350">
                  <c:v>250</c:v>
                </c:pt>
                <c:pt idx="351">
                  <c:v>250</c:v>
                </c:pt>
                <c:pt idx="352">
                  <c:v>260</c:v>
                </c:pt>
                <c:pt idx="353">
                  <c:v>260</c:v>
                </c:pt>
                <c:pt idx="354">
                  <c:v>260</c:v>
                </c:pt>
                <c:pt idx="355">
                  <c:v>260</c:v>
                </c:pt>
                <c:pt idx="356">
                  <c:v>260</c:v>
                </c:pt>
                <c:pt idx="357">
                  <c:v>5</c:v>
                </c:pt>
                <c:pt idx="358">
                  <c:v>5</c:v>
                </c:pt>
                <c:pt idx="359">
                  <c:v>10</c:v>
                </c:pt>
                <c:pt idx="360">
                  <c:v>260</c:v>
                </c:pt>
                <c:pt idx="361">
                  <c:v>3</c:v>
                </c:pt>
                <c:pt idx="362">
                  <c:v>3</c:v>
                </c:pt>
                <c:pt idx="363">
                  <c:v>3</c:v>
                </c:pt>
                <c:pt idx="364">
                  <c:v>5</c:v>
                </c:pt>
                <c:pt idx="365">
                  <c:v>5</c:v>
                </c:pt>
                <c:pt idx="366">
                  <c:v>5</c:v>
                </c:pt>
                <c:pt idx="367">
                  <c:v>5</c:v>
                </c:pt>
                <c:pt idx="368">
                  <c:v>5</c:v>
                </c:pt>
                <c:pt idx="369">
                  <c:v>5</c:v>
                </c:pt>
                <c:pt idx="370">
                  <c:v>10</c:v>
                </c:pt>
                <c:pt idx="371">
                  <c:v>10</c:v>
                </c:pt>
                <c:pt idx="372">
                  <c:v>10</c:v>
                </c:pt>
                <c:pt idx="373">
                  <c:v>10</c:v>
                </c:pt>
                <c:pt idx="374">
                  <c:v>10</c:v>
                </c:pt>
                <c:pt idx="375">
                  <c:v>10</c:v>
                </c:pt>
                <c:pt idx="376">
                  <c:v>10</c:v>
                </c:pt>
                <c:pt idx="377">
                  <c:v>10</c:v>
                </c:pt>
                <c:pt idx="378">
                  <c:v>10</c:v>
                </c:pt>
                <c:pt idx="379">
                  <c:v>10</c:v>
                </c:pt>
                <c:pt idx="380">
                  <c:v>10</c:v>
                </c:pt>
                <c:pt idx="381">
                  <c:v>10</c:v>
                </c:pt>
                <c:pt idx="382">
                  <c:v>10</c:v>
                </c:pt>
                <c:pt idx="383">
                  <c:v>120</c:v>
                </c:pt>
                <c:pt idx="384">
                  <c:v>120</c:v>
                </c:pt>
                <c:pt idx="385">
                  <c:v>120</c:v>
                </c:pt>
                <c:pt idx="386">
                  <c:v>120</c:v>
                </c:pt>
                <c:pt idx="387">
                  <c:v>120</c:v>
                </c:pt>
                <c:pt idx="388">
                  <c:v>250</c:v>
                </c:pt>
                <c:pt idx="389">
                  <c:v>250</c:v>
                </c:pt>
                <c:pt idx="390">
                  <c:v>250</c:v>
                </c:pt>
                <c:pt idx="391">
                  <c:v>250</c:v>
                </c:pt>
                <c:pt idx="392">
                  <c:v>250</c:v>
                </c:pt>
                <c:pt idx="393">
                  <c:v>250</c:v>
                </c:pt>
                <c:pt idx="394">
                  <c:v>260</c:v>
                </c:pt>
                <c:pt idx="395">
                  <c:v>260</c:v>
                </c:pt>
                <c:pt idx="396">
                  <c:v>260</c:v>
                </c:pt>
                <c:pt idx="397">
                  <c:v>260</c:v>
                </c:pt>
                <c:pt idx="398">
                  <c:v>260</c:v>
                </c:pt>
                <c:pt idx="399">
                  <c:v>260</c:v>
                </c:pt>
                <c:pt idx="400">
                  <c:v>260</c:v>
                </c:pt>
                <c:pt idx="401">
                  <c:v>260</c:v>
                </c:pt>
                <c:pt idx="402">
                  <c:v>250</c:v>
                </c:pt>
                <c:pt idx="403">
                  <c:v>3</c:v>
                </c:pt>
                <c:pt idx="404">
                  <c:v>3</c:v>
                </c:pt>
                <c:pt idx="405">
                  <c:v>5</c:v>
                </c:pt>
                <c:pt idx="406">
                  <c:v>5</c:v>
                </c:pt>
                <c:pt idx="407">
                  <c:v>5</c:v>
                </c:pt>
                <c:pt idx="408">
                  <c:v>5</c:v>
                </c:pt>
                <c:pt idx="409">
                  <c:v>5</c:v>
                </c:pt>
                <c:pt idx="410">
                  <c:v>5</c:v>
                </c:pt>
                <c:pt idx="411">
                  <c:v>5</c:v>
                </c:pt>
                <c:pt idx="412">
                  <c:v>5</c:v>
                </c:pt>
                <c:pt idx="413">
                  <c:v>10</c:v>
                </c:pt>
                <c:pt idx="414">
                  <c:v>10</c:v>
                </c:pt>
                <c:pt idx="415">
                  <c:v>10</c:v>
                </c:pt>
                <c:pt idx="416">
                  <c:v>10</c:v>
                </c:pt>
                <c:pt idx="417">
                  <c:v>10</c:v>
                </c:pt>
                <c:pt idx="418">
                  <c:v>10</c:v>
                </c:pt>
                <c:pt idx="419">
                  <c:v>10</c:v>
                </c:pt>
                <c:pt idx="420">
                  <c:v>10</c:v>
                </c:pt>
                <c:pt idx="421">
                  <c:v>10</c:v>
                </c:pt>
                <c:pt idx="422">
                  <c:v>120</c:v>
                </c:pt>
                <c:pt idx="423">
                  <c:v>120</c:v>
                </c:pt>
                <c:pt idx="424">
                  <c:v>120</c:v>
                </c:pt>
                <c:pt idx="425">
                  <c:v>120</c:v>
                </c:pt>
                <c:pt idx="426">
                  <c:v>120</c:v>
                </c:pt>
                <c:pt idx="427">
                  <c:v>120</c:v>
                </c:pt>
                <c:pt idx="428">
                  <c:v>250</c:v>
                </c:pt>
                <c:pt idx="429">
                  <c:v>250</c:v>
                </c:pt>
                <c:pt idx="430">
                  <c:v>250</c:v>
                </c:pt>
                <c:pt idx="431">
                  <c:v>250</c:v>
                </c:pt>
                <c:pt idx="432">
                  <c:v>250</c:v>
                </c:pt>
                <c:pt idx="433">
                  <c:v>250</c:v>
                </c:pt>
                <c:pt idx="434">
                  <c:v>250</c:v>
                </c:pt>
                <c:pt idx="435">
                  <c:v>250</c:v>
                </c:pt>
                <c:pt idx="436">
                  <c:v>260</c:v>
                </c:pt>
                <c:pt idx="437">
                  <c:v>260</c:v>
                </c:pt>
                <c:pt idx="438">
                  <c:v>260</c:v>
                </c:pt>
                <c:pt idx="439">
                  <c:v>260</c:v>
                </c:pt>
                <c:pt idx="440">
                  <c:v>3</c:v>
                </c:pt>
                <c:pt idx="441">
                  <c:v>3</c:v>
                </c:pt>
                <c:pt idx="442">
                  <c:v>3</c:v>
                </c:pt>
                <c:pt idx="443">
                  <c:v>3</c:v>
                </c:pt>
                <c:pt idx="444">
                  <c:v>10</c:v>
                </c:pt>
                <c:pt idx="445">
                  <c:v>10</c:v>
                </c:pt>
                <c:pt idx="446">
                  <c:v>10</c:v>
                </c:pt>
                <c:pt idx="447">
                  <c:v>120</c:v>
                </c:pt>
                <c:pt idx="448">
                  <c:v>120</c:v>
                </c:pt>
                <c:pt idx="449">
                  <c:v>250</c:v>
                </c:pt>
                <c:pt idx="450">
                  <c:v>250</c:v>
                </c:pt>
                <c:pt idx="451">
                  <c:v>250</c:v>
                </c:pt>
                <c:pt idx="452">
                  <c:v>260</c:v>
                </c:pt>
                <c:pt idx="453">
                  <c:v>260</c:v>
                </c:pt>
                <c:pt idx="454">
                  <c:v>260</c:v>
                </c:pt>
                <c:pt idx="455">
                  <c:v>3</c:v>
                </c:pt>
                <c:pt idx="456">
                  <c:v>5</c:v>
                </c:pt>
                <c:pt idx="457">
                  <c:v>10</c:v>
                </c:pt>
                <c:pt idx="458">
                  <c:v>3</c:v>
                </c:pt>
                <c:pt idx="459">
                  <c:v>3</c:v>
                </c:pt>
                <c:pt idx="460">
                  <c:v>5</c:v>
                </c:pt>
                <c:pt idx="461">
                  <c:v>5</c:v>
                </c:pt>
                <c:pt idx="462">
                  <c:v>5</c:v>
                </c:pt>
                <c:pt idx="463">
                  <c:v>10</c:v>
                </c:pt>
                <c:pt idx="464">
                  <c:v>10</c:v>
                </c:pt>
                <c:pt idx="465">
                  <c:v>10</c:v>
                </c:pt>
                <c:pt idx="466">
                  <c:v>10</c:v>
                </c:pt>
                <c:pt idx="467">
                  <c:v>120</c:v>
                </c:pt>
                <c:pt idx="468">
                  <c:v>120</c:v>
                </c:pt>
                <c:pt idx="469">
                  <c:v>120</c:v>
                </c:pt>
                <c:pt idx="470">
                  <c:v>120</c:v>
                </c:pt>
                <c:pt idx="471">
                  <c:v>120</c:v>
                </c:pt>
                <c:pt idx="472">
                  <c:v>120</c:v>
                </c:pt>
                <c:pt idx="473">
                  <c:v>120</c:v>
                </c:pt>
                <c:pt idx="474">
                  <c:v>120</c:v>
                </c:pt>
                <c:pt idx="475">
                  <c:v>120</c:v>
                </c:pt>
                <c:pt idx="476">
                  <c:v>120</c:v>
                </c:pt>
                <c:pt idx="477">
                  <c:v>250</c:v>
                </c:pt>
                <c:pt idx="478">
                  <c:v>250</c:v>
                </c:pt>
                <c:pt idx="479">
                  <c:v>250</c:v>
                </c:pt>
                <c:pt idx="480">
                  <c:v>250</c:v>
                </c:pt>
                <c:pt idx="481">
                  <c:v>250</c:v>
                </c:pt>
                <c:pt idx="482">
                  <c:v>250</c:v>
                </c:pt>
                <c:pt idx="483">
                  <c:v>250</c:v>
                </c:pt>
                <c:pt idx="484">
                  <c:v>250</c:v>
                </c:pt>
                <c:pt idx="485">
                  <c:v>260</c:v>
                </c:pt>
                <c:pt idx="486">
                  <c:v>260</c:v>
                </c:pt>
                <c:pt idx="487">
                  <c:v>260</c:v>
                </c:pt>
                <c:pt idx="488">
                  <c:v>260</c:v>
                </c:pt>
                <c:pt idx="489">
                  <c:v>260</c:v>
                </c:pt>
                <c:pt idx="490">
                  <c:v>260</c:v>
                </c:pt>
                <c:pt idx="491">
                  <c:v>260</c:v>
                </c:pt>
                <c:pt idx="492">
                  <c:v>260</c:v>
                </c:pt>
                <c:pt idx="493">
                  <c:v>260</c:v>
                </c:pt>
                <c:pt idx="494">
                  <c:v>3</c:v>
                </c:pt>
                <c:pt idx="495">
                  <c:v>10</c:v>
                </c:pt>
                <c:pt idx="496">
                  <c:v>10</c:v>
                </c:pt>
                <c:pt idx="497">
                  <c:v>120</c:v>
                </c:pt>
                <c:pt idx="498">
                  <c:v>120</c:v>
                </c:pt>
                <c:pt idx="499">
                  <c:v>250</c:v>
                </c:pt>
                <c:pt idx="500">
                  <c:v>250</c:v>
                </c:pt>
                <c:pt idx="501">
                  <c:v>260</c:v>
                </c:pt>
                <c:pt idx="502">
                  <c:v>260</c:v>
                </c:pt>
                <c:pt idx="503">
                  <c:v>3</c:v>
                </c:pt>
                <c:pt idx="504">
                  <c:v>3</c:v>
                </c:pt>
                <c:pt idx="505">
                  <c:v>3</c:v>
                </c:pt>
                <c:pt idx="506">
                  <c:v>3</c:v>
                </c:pt>
                <c:pt idx="507">
                  <c:v>3</c:v>
                </c:pt>
                <c:pt idx="508">
                  <c:v>3</c:v>
                </c:pt>
                <c:pt idx="509">
                  <c:v>5</c:v>
                </c:pt>
                <c:pt idx="510">
                  <c:v>5</c:v>
                </c:pt>
                <c:pt idx="511">
                  <c:v>5</c:v>
                </c:pt>
                <c:pt idx="512">
                  <c:v>10</c:v>
                </c:pt>
                <c:pt idx="513">
                  <c:v>10</c:v>
                </c:pt>
                <c:pt idx="514">
                  <c:v>10</c:v>
                </c:pt>
                <c:pt idx="515">
                  <c:v>10</c:v>
                </c:pt>
                <c:pt idx="516">
                  <c:v>10</c:v>
                </c:pt>
                <c:pt idx="517">
                  <c:v>10</c:v>
                </c:pt>
                <c:pt idx="518">
                  <c:v>10</c:v>
                </c:pt>
                <c:pt idx="519">
                  <c:v>10</c:v>
                </c:pt>
                <c:pt idx="520">
                  <c:v>10</c:v>
                </c:pt>
                <c:pt idx="521">
                  <c:v>10</c:v>
                </c:pt>
                <c:pt idx="522">
                  <c:v>120</c:v>
                </c:pt>
                <c:pt idx="523">
                  <c:v>120</c:v>
                </c:pt>
                <c:pt idx="524">
                  <c:v>120</c:v>
                </c:pt>
                <c:pt idx="525">
                  <c:v>120</c:v>
                </c:pt>
                <c:pt idx="526">
                  <c:v>250</c:v>
                </c:pt>
                <c:pt idx="527">
                  <c:v>250</c:v>
                </c:pt>
                <c:pt idx="528">
                  <c:v>250</c:v>
                </c:pt>
                <c:pt idx="529">
                  <c:v>260</c:v>
                </c:pt>
                <c:pt idx="530">
                  <c:v>260</c:v>
                </c:pt>
                <c:pt idx="531">
                  <c:v>260</c:v>
                </c:pt>
                <c:pt idx="532">
                  <c:v>260</c:v>
                </c:pt>
                <c:pt idx="533">
                  <c:v>260</c:v>
                </c:pt>
                <c:pt idx="534">
                  <c:v>260</c:v>
                </c:pt>
                <c:pt idx="535">
                  <c:v>10</c:v>
                </c:pt>
                <c:pt idx="536">
                  <c:v>3</c:v>
                </c:pt>
                <c:pt idx="537">
                  <c:v>3</c:v>
                </c:pt>
                <c:pt idx="538">
                  <c:v>3</c:v>
                </c:pt>
                <c:pt idx="539">
                  <c:v>3</c:v>
                </c:pt>
                <c:pt idx="540">
                  <c:v>5</c:v>
                </c:pt>
                <c:pt idx="541">
                  <c:v>5</c:v>
                </c:pt>
                <c:pt idx="542">
                  <c:v>5</c:v>
                </c:pt>
                <c:pt idx="543">
                  <c:v>5</c:v>
                </c:pt>
                <c:pt idx="544">
                  <c:v>5</c:v>
                </c:pt>
                <c:pt idx="545">
                  <c:v>5</c:v>
                </c:pt>
                <c:pt idx="546">
                  <c:v>10</c:v>
                </c:pt>
                <c:pt idx="547">
                  <c:v>10</c:v>
                </c:pt>
                <c:pt idx="548">
                  <c:v>10</c:v>
                </c:pt>
                <c:pt idx="549">
                  <c:v>10</c:v>
                </c:pt>
                <c:pt idx="550">
                  <c:v>10</c:v>
                </c:pt>
                <c:pt idx="551">
                  <c:v>10</c:v>
                </c:pt>
                <c:pt idx="552">
                  <c:v>10</c:v>
                </c:pt>
                <c:pt idx="553">
                  <c:v>10</c:v>
                </c:pt>
                <c:pt idx="554">
                  <c:v>10</c:v>
                </c:pt>
                <c:pt idx="555">
                  <c:v>10</c:v>
                </c:pt>
                <c:pt idx="556">
                  <c:v>10</c:v>
                </c:pt>
                <c:pt idx="557">
                  <c:v>120</c:v>
                </c:pt>
                <c:pt idx="558">
                  <c:v>120</c:v>
                </c:pt>
                <c:pt idx="559">
                  <c:v>120</c:v>
                </c:pt>
                <c:pt idx="560">
                  <c:v>250</c:v>
                </c:pt>
                <c:pt idx="561">
                  <c:v>250</c:v>
                </c:pt>
                <c:pt idx="562">
                  <c:v>250</c:v>
                </c:pt>
                <c:pt idx="563">
                  <c:v>250</c:v>
                </c:pt>
                <c:pt idx="564">
                  <c:v>250</c:v>
                </c:pt>
                <c:pt idx="565">
                  <c:v>250</c:v>
                </c:pt>
                <c:pt idx="566">
                  <c:v>260</c:v>
                </c:pt>
                <c:pt idx="567">
                  <c:v>260</c:v>
                </c:pt>
                <c:pt idx="568">
                  <c:v>260</c:v>
                </c:pt>
                <c:pt idx="569">
                  <c:v>260</c:v>
                </c:pt>
                <c:pt idx="570">
                  <c:v>3</c:v>
                </c:pt>
                <c:pt idx="571">
                  <c:v>5</c:v>
                </c:pt>
                <c:pt idx="572">
                  <c:v>10</c:v>
                </c:pt>
                <c:pt idx="573">
                  <c:v>250</c:v>
                </c:pt>
                <c:pt idx="574">
                  <c:v>250</c:v>
                </c:pt>
                <c:pt idx="575">
                  <c:v>260</c:v>
                </c:pt>
                <c:pt idx="576">
                  <c:v>3</c:v>
                </c:pt>
                <c:pt idx="577">
                  <c:v>250</c:v>
                </c:pt>
                <c:pt idx="578">
                  <c:v>3</c:v>
                </c:pt>
                <c:pt idx="579">
                  <c:v>3</c:v>
                </c:pt>
                <c:pt idx="580">
                  <c:v>3</c:v>
                </c:pt>
                <c:pt idx="581">
                  <c:v>5</c:v>
                </c:pt>
                <c:pt idx="582">
                  <c:v>5</c:v>
                </c:pt>
                <c:pt idx="583">
                  <c:v>5</c:v>
                </c:pt>
                <c:pt idx="584">
                  <c:v>5</c:v>
                </c:pt>
                <c:pt idx="585">
                  <c:v>5</c:v>
                </c:pt>
                <c:pt idx="586">
                  <c:v>10</c:v>
                </c:pt>
                <c:pt idx="587">
                  <c:v>10</c:v>
                </c:pt>
                <c:pt idx="588">
                  <c:v>10</c:v>
                </c:pt>
                <c:pt idx="589">
                  <c:v>10</c:v>
                </c:pt>
                <c:pt idx="590">
                  <c:v>10</c:v>
                </c:pt>
                <c:pt idx="591">
                  <c:v>10</c:v>
                </c:pt>
                <c:pt idx="592">
                  <c:v>10</c:v>
                </c:pt>
                <c:pt idx="593">
                  <c:v>10</c:v>
                </c:pt>
                <c:pt idx="594">
                  <c:v>10</c:v>
                </c:pt>
                <c:pt idx="595">
                  <c:v>10</c:v>
                </c:pt>
                <c:pt idx="596">
                  <c:v>10</c:v>
                </c:pt>
                <c:pt idx="597">
                  <c:v>10</c:v>
                </c:pt>
                <c:pt idx="598">
                  <c:v>120</c:v>
                </c:pt>
                <c:pt idx="599">
                  <c:v>120</c:v>
                </c:pt>
                <c:pt idx="600">
                  <c:v>120</c:v>
                </c:pt>
                <c:pt idx="601">
                  <c:v>120</c:v>
                </c:pt>
                <c:pt idx="602">
                  <c:v>120</c:v>
                </c:pt>
                <c:pt idx="603">
                  <c:v>120</c:v>
                </c:pt>
                <c:pt idx="604">
                  <c:v>120</c:v>
                </c:pt>
                <c:pt idx="605">
                  <c:v>120</c:v>
                </c:pt>
                <c:pt idx="606">
                  <c:v>250</c:v>
                </c:pt>
                <c:pt idx="607">
                  <c:v>250</c:v>
                </c:pt>
                <c:pt idx="608">
                  <c:v>260</c:v>
                </c:pt>
                <c:pt idx="609">
                  <c:v>260</c:v>
                </c:pt>
                <c:pt idx="610">
                  <c:v>260</c:v>
                </c:pt>
                <c:pt idx="611">
                  <c:v>260</c:v>
                </c:pt>
                <c:pt idx="612">
                  <c:v>3</c:v>
                </c:pt>
                <c:pt idx="613">
                  <c:v>3</c:v>
                </c:pt>
                <c:pt idx="614">
                  <c:v>3</c:v>
                </c:pt>
                <c:pt idx="615">
                  <c:v>3</c:v>
                </c:pt>
                <c:pt idx="616">
                  <c:v>5</c:v>
                </c:pt>
                <c:pt idx="617">
                  <c:v>5</c:v>
                </c:pt>
                <c:pt idx="618">
                  <c:v>10</c:v>
                </c:pt>
                <c:pt idx="619">
                  <c:v>10</c:v>
                </c:pt>
                <c:pt idx="620">
                  <c:v>10</c:v>
                </c:pt>
                <c:pt idx="621">
                  <c:v>10</c:v>
                </c:pt>
                <c:pt idx="622">
                  <c:v>250</c:v>
                </c:pt>
                <c:pt idx="623">
                  <c:v>260</c:v>
                </c:pt>
                <c:pt idx="624">
                  <c:v>260</c:v>
                </c:pt>
                <c:pt idx="625">
                  <c:v>3</c:v>
                </c:pt>
                <c:pt idx="626">
                  <c:v>3</c:v>
                </c:pt>
                <c:pt idx="627">
                  <c:v>3</c:v>
                </c:pt>
                <c:pt idx="628">
                  <c:v>3</c:v>
                </c:pt>
                <c:pt idx="629">
                  <c:v>3</c:v>
                </c:pt>
                <c:pt idx="630">
                  <c:v>3</c:v>
                </c:pt>
                <c:pt idx="631">
                  <c:v>3</c:v>
                </c:pt>
                <c:pt idx="632">
                  <c:v>5</c:v>
                </c:pt>
                <c:pt idx="633">
                  <c:v>5</c:v>
                </c:pt>
                <c:pt idx="634">
                  <c:v>5</c:v>
                </c:pt>
                <c:pt idx="635">
                  <c:v>5</c:v>
                </c:pt>
                <c:pt idx="636">
                  <c:v>5</c:v>
                </c:pt>
                <c:pt idx="637">
                  <c:v>5</c:v>
                </c:pt>
                <c:pt idx="638">
                  <c:v>10</c:v>
                </c:pt>
                <c:pt idx="639">
                  <c:v>10</c:v>
                </c:pt>
                <c:pt idx="640">
                  <c:v>10</c:v>
                </c:pt>
                <c:pt idx="641">
                  <c:v>10</c:v>
                </c:pt>
                <c:pt idx="642">
                  <c:v>10</c:v>
                </c:pt>
                <c:pt idx="643">
                  <c:v>10</c:v>
                </c:pt>
                <c:pt idx="644">
                  <c:v>10</c:v>
                </c:pt>
                <c:pt idx="645">
                  <c:v>10</c:v>
                </c:pt>
                <c:pt idx="646">
                  <c:v>10</c:v>
                </c:pt>
                <c:pt idx="647">
                  <c:v>120</c:v>
                </c:pt>
                <c:pt idx="648">
                  <c:v>120</c:v>
                </c:pt>
                <c:pt idx="649">
                  <c:v>120</c:v>
                </c:pt>
                <c:pt idx="650">
                  <c:v>120</c:v>
                </c:pt>
                <c:pt idx="651">
                  <c:v>120</c:v>
                </c:pt>
                <c:pt idx="652">
                  <c:v>250</c:v>
                </c:pt>
                <c:pt idx="653">
                  <c:v>250</c:v>
                </c:pt>
                <c:pt idx="654">
                  <c:v>250</c:v>
                </c:pt>
                <c:pt idx="655">
                  <c:v>250</c:v>
                </c:pt>
                <c:pt idx="656">
                  <c:v>250</c:v>
                </c:pt>
                <c:pt idx="657">
                  <c:v>250</c:v>
                </c:pt>
                <c:pt idx="658">
                  <c:v>260</c:v>
                </c:pt>
                <c:pt idx="659">
                  <c:v>260</c:v>
                </c:pt>
                <c:pt idx="660">
                  <c:v>260</c:v>
                </c:pt>
                <c:pt idx="661">
                  <c:v>260</c:v>
                </c:pt>
                <c:pt idx="662">
                  <c:v>260</c:v>
                </c:pt>
                <c:pt idx="663">
                  <c:v>260</c:v>
                </c:pt>
                <c:pt idx="664">
                  <c:v>260</c:v>
                </c:pt>
                <c:pt idx="665">
                  <c:v>260</c:v>
                </c:pt>
                <c:pt idx="666">
                  <c:v>3</c:v>
                </c:pt>
                <c:pt idx="667">
                  <c:v>3</c:v>
                </c:pt>
                <c:pt idx="668">
                  <c:v>3</c:v>
                </c:pt>
                <c:pt idx="669">
                  <c:v>5</c:v>
                </c:pt>
                <c:pt idx="670">
                  <c:v>10</c:v>
                </c:pt>
                <c:pt idx="671">
                  <c:v>10</c:v>
                </c:pt>
                <c:pt idx="672">
                  <c:v>10</c:v>
                </c:pt>
                <c:pt idx="673">
                  <c:v>10</c:v>
                </c:pt>
                <c:pt idx="674">
                  <c:v>10</c:v>
                </c:pt>
                <c:pt idx="675">
                  <c:v>10</c:v>
                </c:pt>
                <c:pt idx="676">
                  <c:v>10</c:v>
                </c:pt>
                <c:pt idx="677">
                  <c:v>10</c:v>
                </c:pt>
                <c:pt idx="678">
                  <c:v>10</c:v>
                </c:pt>
                <c:pt idx="679">
                  <c:v>10</c:v>
                </c:pt>
                <c:pt idx="680">
                  <c:v>10</c:v>
                </c:pt>
                <c:pt idx="681">
                  <c:v>10</c:v>
                </c:pt>
                <c:pt idx="682">
                  <c:v>120</c:v>
                </c:pt>
                <c:pt idx="683">
                  <c:v>120</c:v>
                </c:pt>
                <c:pt idx="684">
                  <c:v>120</c:v>
                </c:pt>
                <c:pt idx="685">
                  <c:v>120</c:v>
                </c:pt>
                <c:pt idx="686">
                  <c:v>120</c:v>
                </c:pt>
                <c:pt idx="687">
                  <c:v>120</c:v>
                </c:pt>
                <c:pt idx="688">
                  <c:v>250</c:v>
                </c:pt>
                <c:pt idx="689">
                  <c:v>250</c:v>
                </c:pt>
                <c:pt idx="690">
                  <c:v>250</c:v>
                </c:pt>
                <c:pt idx="691">
                  <c:v>250</c:v>
                </c:pt>
                <c:pt idx="692">
                  <c:v>250</c:v>
                </c:pt>
                <c:pt idx="693">
                  <c:v>250</c:v>
                </c:pt>
                <c:pt idx="694">
                  <c:v>250</c:v>
                </c:pt>
                <c:pt idx="695">
                  <c:v>260</c:v>
                </c:pt>
                <c:pt idx="696">
                  <c:v>260</c:v>
                </c:pt>
                <c:pt idx="697">
                  <c:v>5</c:v>
                </c:pt>
                <c:pt idx="698">
                  <c:v>10</c:v>
                </c:pt>
                <c:pt idx="699">
                  <c:v>250</c:v>
                </c:pt>
              </c:numCache>
            </c:numRef>
          </c:yVal>
          <c:bubbleSize>
            <c:numRef>
              <c:f>Sheet1!$E$4:$E$703</c:f>
              <c:numCache>
                <c:formatCode>#,##0.00</c:formatCode>
                <c:ptCount val="700"/>
                <c:pt idx="0">
                  <c:v>20</c:v>
                </c:pt>
                <c:pt idx="1">
                  <c:v>20</c:v>
                </c:pt>
                <c:pt idx="2">
                  <c:v>15</c:v>
                </c:pt>
                <c:pt idx="3">
                  <c:v>15</c:v>
                </c:pt>
                <c:pt idx="4">
                  <c:v>15</c:v>
                </c:pt>
                <c:pt idx="5">
                  <c:v>350</c:v>
                </c:pt>
                <c:pt idx="6">
                  <c:v>15</c:v>
                </c:pt>
                <c:pt idx="7">
                  <c:v>12</c:v>
                </c:pt>
                <c:pt idx="8">
                  <c:v>20</c:v>
                </c:pt>
                <c:pt idx="9">
                  <c:v>12</c:v>
                </c:pt>
                <c:pt idx="10">
                  <c:v>15</c:v>
                </c:pt>
                <c:pt idx="11">
                  <c:v>125</c:v>
                </c:pt>
                <c:pt idx="12">
                  <c:v>300</c:v>
                </c:pt>
                <c:pt idx="13">
                  <c:v>7</c:v>
                </c:pt>
                <c:pt idx="14">
                  <c:v>125</c:v>
                </c:pt>
                <c:pt idx="15">
                  <c:v>15</c:v>
                </c:pt>
                <c:pt idx="16">
                  <c:v>20</c:v>
                </c:pt>
                <c:pt idx="17">
                  <c:v>15</c:v>
                </c:pt>
                <c:pt idx="18">
                  <c:v>12</c:v>
                </c:pt>
                <c:pt idx="19">
                  <c:v>350</c:v>
                </c:pt>
                <c:pt idx="20">
                  <c:v>12</c:v>
                </c:pt>
                <c:pt idx="21">
                  <c:v>7</c:v>
                </c:pt>
                <c:pt idx="22">
                  <c:v>15</c:v>
                </c:pt>
                <c:pt idx="23">
                  <c:v>300</c:v>
                </c:pt>
                <c:pt idx="24">
                  <c:v>15</c:v>
                </c:pt>
                <c:pt idx="25">
                  <c:v>7</c:v>
                </c:pt>
                <c:pt idx="26">
                  <c:v>350</c:v>
                </c:pt>
                <c:pt idx="27">
                  <c:v>12</c:v>
                </c:pt>
                <c:pt idx="28">
                  <c:v>15</c:v>
                </c:pt>
                <c:pt idx="29">
                  <c:v>20</c:v>
                </c:pt>
                <c:pt idx="30">
                  <c:v>350</c:v>
                </c:pt>
                <c:pt idx="31">
                  <c:v>7</c:v>
                </c:pt>
                <c:pt idx="32">
                  <c:v>125</c:v>
                </c:pt>
                <c:pt idx="33">
                  <c:v>12</c:v>
                </c:pt>
                <c:pt idx="34">
                  <c:v>350</c:v>
                </c:pt>
                <c:pt idx="35">
                  <c:v>12</c:v>
                </c:pt>
                <c:pt idx="36">
                  <c:v>125</c:v>
                </c:pt>
                <c:pt idx="37">
                  <c:v>125</c:v>
                </c:pt>
                <c:pt idx="38">
                  <c:v>300</c:v>
                </c:pt>
                <c:pt idx="39">
                  <c:v>12</c:v>
                </c:pt>
                <c:pt idx="40">
                  <c:v>15</c:v>
                </c:pt>
                <c:pt idx="41">
                  <c:v>15</c:v>
                </c:pt>
                <c:pt idx="42">
                  <c:v>350</c:v>
                </c:pt>
                <c:pt idx="43">
                  <c:v>300</c:v>
                </c:pt>
                <c:pt idx="44">
                  <c:v>20</c:v>
                </c:pt>
                <c:pt idx="45">
                  <c:v>350</c:v>
                </c:pt>
                <c:pt idx="46">
                  <c:v>12</c:v>
                </c:pt>
                <c:pt idx="47">
                  <c:v>125</c:v>
                </c:pt>
                <c:pt idx="48">
                  <c:v>20</c:v>
                </c:pt>
                <c:pt idx="49">
                  <c:v>7</c:v>
                </c:pt>
                <c:pt idx="50">
                  <c:v>12</c:v>
                </c:pt>
                <c:pt idx="51">
                  <c:v>7</c:v>
                </c:pt>
                <c:pt idx="52">
                  <c:v>15</c:v>
                </c:pt>
                <c:pt idx="53">
                  <c:v>7</c:v>
                </c:pt>
                <c:pt idx="54">
                  <c:v>15</c:v>
                </c:pt>
                <c:pt idx="55">
                  <c:v>7</c:v>
                </c:pt>
                <c:pt idx="56">
                  <c:v>7</c:v>
                </c:pt>
                <c:pt idx="57">
                  <c:v>7</c:v>
                </c:pt>
                <c:pt idx="58">
                  <c:v>12</c:v>
                </c:pt>
                <c:pt idx="59">
                  <c:v>350</c:v>
                </c:pt>
                <c:pt idx="60">
                  <c:v>7</c:v>
                </c:pt>
                <c:pt idx="61">
                  <c:v>12</c:v>
                </c:pt>
                <c:pt idx="62">
                  <c:v>125</c:v>
                </c:pt>
                <c:pt idx="63">
                  <c:v>12</c:v>
                </c:pt>
                <c:pt idx="64">
                  <c:v>12</c:v>
                </c:pt>
                <c:pt idx="65">
                  <c:v>300</c:v>
                </c:pt>
                <c:pt idx="66">
                  <c:v>350</c:v>
                </c:pt>
                <c:pt idx="67">
                  <c:v>350</c:v>
                </c:pt>
                <c:pt idx="68">
                  <c:v>15</c:v>
                </c:pt>
                <c:pt idx="69">
                  <c:v>300</c:v>
                </c:pt>
                <c:pt idx="70">
                  <c:v>20</c:v>
                </c:pt>
                <c:pt idx="71">
                  <c:v>7</c:v>
                </c:pt>
                <c:pt idx="72">
                  <c:v>300</c:v>
                </c:pt>
                <c:pt idx="73">
                  <c:v>125</c:v>
                </c:pt>
                <c:pt idx="74">
                  <c:v>15</c:v>
                </c:pt>
                <c:pt idx="75">
                  <c:v>7</c:v>
                </c:pt>
                <c:pt idx="76">
                  <c:v>125</c:v>
                </c:pt>
                <c:pt idx="77">
                  <c:v>125</c:v>
                </c:pt>
                <c:pt idx="78">
                  <c:v>125</c:v>
                </c:pt>
                <c:pt idx="79">
                  <c:v>15</c:v>
                </c:pt>
                <c:pt idx="80">
                  <c:v>12</c:v>
                </c:pt>
                <c:pt idx="81">
                  <c:v>300</c:v>
                </c:pt>
                <c:pt idx="82">
                  <c:v>350</c:v>
                </c:pt>
                <c:pt idx="83">
                  <c:v>20</c:v>
                </c:pt>
                <c:pt idx="84">
                  <c:v>7</c:v>
                </c:pt>
                <c:pt idx="85">
                  <c:v>125</c:v>
                </c:pt>
                <c:pt idx="86">
                  <c:v>125</c:v>
                </c:pt>
                <c:pt idx="87">
                  <c:v>7</c:v>
                </c:pt>
                <c:pt idx="88">
                  <c:v>7</c:v>
                </c:pt>
                <c:pt idx="89">
                  <c:v>350</c:v>
                </c:pt>
                <c:pt idx="90">
                  <c:v>125</c:v>
                </c:pt>
                <c:pt idx="91">
                  <c:v>125</c:v>
                </c:pt>
                <c:pt idx="92">
                  <c:v>300</c:v>
                </c:pt>
                <c:pt idx="93">
                  <c:v>300</c:v>
                </c:pt>
                <c:pt idx="94">
                  <c:v>350</c:v>
                </c:pt>
                <c:pt idx="95">
                  <c:v>125</c:v>
                </c:pt>
                <c:pt idx="96">
                  <c:v>12</c:v>
                </c:pt>
                <c:pt idx="97">
                  <c:v>15</c:v>
                </c:pt>
                <c:pt idx="98">
                  <c:v>125</c:v>
                </c:pt>
                <c:pt idx="99">
                  <c:v>12</c:v>
                </c:pt>
                <c:pt idx="100">
                  <c:v>300</c:v>
                </c:pt>
                <c:pt idx="101">
                  <c:v>7</c:v>
                </c:pt>
                <c:pt idx="102">
                  <c:v>350</c:v>
                </c:pt>
                <c:pt idx="103">
                  <c:v>12</c:v>
                </c:pt>
                <c:pt idx="104">
                  <c:v>20</c:v>
                </c:pt>
                <c:pt idx="105">
                  <c:v>12</c:v>
                </c:pt>
                <c:pt idx="106">
                  <c:v>125</c:v>
                </c:pt>
                <c:pt idx="107">
                  <c:v>15</c:v>
                </c:pt>
                <c:pt idx="108">
                  <c:v>300</c:v>
                </c:pt>
                <c:pt idx="109">
                  <c:v>300</c:v>
                </c:pt>
                <c:pt idx="110">
                  <c:v>12</c:v>
                </c:pt>
                <c:pt idx="111">
                  <c:v>125</c:v>
                </c:pt>
                <c:pt idx="112">
                  <c:v>12</c:v>
                </c:pt>
                <c:pt idx="113">
                  <c:v>125</c:v>
                </c:pt>
                <c:pt idx="114">
                  <c:v>125</c:v>
                </c:pt>
                <c:pt idx="115">
                  <c:v>12</c:v>
                </c:pt>
                <c:pt idx="116">
                  <c:v>300</c:v>
                </c:pt>
                <c:pt idx="117">
                  <c:v>350</c:v>
                </c:pt>
                <c:pt idx="118">
                  <c:v>125</c:v>
                </c:pt>
                <c:pt idx="119">
                  <c:v>15</c:v>
                </c:pt>
                <c:pt idx="120">
                  <c:v>7</c:v>
                </c:pt>
                <c:pt idx="121">
                  <c:v>12</c:v>
                </c:pt>
                <c:pt idx="122">
                  <c:v>12</c:v>
                </c:pt>
                <c:pt idx="123">
                  <c:v>20</c:v>
                </c:pt>
                <c:pt idx="124">
                  <c:v>350</c:v>
                </c:pt>
                <c:pt idx="125">
                  <c:v>350</c:v>
                </c:pt>
                <c:pt idx="126">
                  <c:v>125</c:v>
                </c:pt>
                <c:pt idx="127">
                  <c:v>125</c:v>
                </c:pt>
                <c:pt idx="128">
                  <c:v>12</c:v>
                </c:pt>
                <c:pt idx="129">
                  <c:v>20</c:v>
                </c:pt>
                <c:pt idx="130">
                  <c:v>12</c:v>
                </c:pt>
                <c:pt idx="131">
                  <c:v>125</c:v>
                </c:pt>
                <c:pt idx="132">
                  <c:v>300</c:v>
                </c:pt>
                <c:pt idx="133">
                  <c:v>350</c:v>
                </c:pt>
                <c:pt idx="134">
                  <c:v>125</c:v>
                </c:pt>
                <c:pt idx="135">
                  <c:v>350</c:v>
                </c:pt>
                <c:pt idx="136">
                  <c:v>350</c:v>
                </c:pt>
                <c:pt idx="137">
                  <c:v>300</c:v>
                </c:pt>
                <c:pt idx="138">
                  <c:v>300</c:v>
                </c:pt>
                <c:pt idx="139">
                  <c:v>125</c:v>
                </c:pt>
                <c:pt idx="140">
                  <c:v>350</c:v>
                </c:pt>
                <c:pt idx="141">
                  <c:v>20</c:v>
                </c:pt>
                <c:pt idx="142">
                  <c:v>20</c:v>
                </c:pt>
                <c:pt idx="143">
                  <c:v>300</c:v>
                </c:pt>
                <c:pt idx="144">
                  <c:v>125</c:v>
                </c:pt>
                <c:pt idx="145">
                  <c:v>20</c:v>
                </c:pt>
                <c:pt idx="146">
                  <c:v>300</c:v>
                </c:pt>
                <c:pt idx="147">
                  <c:v>12</c:v>
                </c:pt>
                <c:pt idx="148">
                  <c:v>12</c:v>
                </c:pt>
                <c:pt idx="149">
                  <c:v>7</c:v>
                </c:pt>
                <c:pt idx="150">
                  <c:v>12</c:v>
                </c:pt>
                <c:pt idx="151">
                  <c:v>7</c:v>
                </c:pt>
                <c:pt idx="152">
                  <c:v>350</c:v>
                </c:pt>
                <c:pt idx="153">
                  <c:v>125</c:v>
                </c:pt>
                <c:pt idx="154">
                  <c:v>125</c:v>
                </c:pt>
                <c:pt idx="155">
                  <c:v>300</c:v>
                </c:pt>
                <c:pt idx="156">
                  <c:v>125</c:v>
                </c:pt>
                <c:pt idx="157">
                  <c:v>12</c:v>
                </c:pt>
                <c:pt idx="158">
                  <c:v>300</c:v>
                </c:pt>
                <c:pt idx="159">
                  <c:v>125</c:v>
                </c:pt>
                <c:pt idx="160">
                  <c:v>12</c:v>
                </c:pt>
                <c:pt idx="161">
                  <c:v>125</c:v>
                </c:pt>
                <c:pt idx="162">
                  <c:v>15</c:v>
                </c:pt>
                <c:pt idx="163">
                  <c:v>125</c:v>
                </c:pt>
                <c:pt idx="164">
                  <c:v>125</c:v>
                </c:pt>
                <c:pt idx="165">
                  <c:v>125</c:v>
                </c:pt>
                <c:pt idx="166">
                  <c:v>300</c:v>
                </c:pt>
                <c:pt idx="167">
                  <c:v>12</c:v>
                </c:pt>
                <c:pt idx="168">
                  <c:v>125</c:v>
                </c:pt>
                <c:pt idx="169">
                  <c:v>300</c:v>
                </c:pt>
                <c:pt idx="170">
                  <c:v>350</c:v>
                </c:pt>
                <c:pt idx="171">
                  <c:v>15</c:v>
                </c:pt>
                <c:pt idx="172">
                  <c:v>20</c:v>
                </c:pt>
                <c:pt idx="173">
                  <c:v>7</c:v>
                </c:pt>
                <c:pt idx="174">
                  <c:v>20</c:v>
                </c:pt>
                <c:pt idx="175">
                  <c:v>12</c:v>
                </c:pt>
                <c:pt idx="176">
                  <c:v>15</c:v>
                </c:pt>
                <c:pt idx="177">
                  <c:v>15</c:v>
                </c:pt>
                <c:pt idx="178">
                  <c:v>15</c:v>
                </c:pt>
                <c:pt idx="179">
                  <c:v>20</c:v>
                </c:pt>
                <c:pt idx="180">
                  <c:v>7</c:v>
                </c:pt>
                <c:pt idx="181">
                  <c:v>300</c:v>
                </c:pt>
                <c:pt idx="182">
                  <c:v>350</c:v>
                </c:pt>
                <c:pt idx="183">
                  <c:v>15</c:v>
                </c:pt>
                <c:pt idx="184">
                  <c:v>300</c:v>
                </c:pt>
                <c:pt idx="185">
                  <c:v>7</c:v>
                </c:pt>
                <c:pt idx="186">
                  <c:v>300</c:v>
                </c:pt>
                <c:pt idx="187">
                  <c:v>125</c:v>
                </c:pt>
                <c:pt idx="188">
                  <c:v>7</c:v>
                </c:pt>
                <c:pt idx="189">
                  <c:v>125</c:v>
                </c:pt>
                <c:pt idx="190">
                  <c:v>300</c:v>
                </c:pt>
                <c:pt idx="191">
                  <c:v>300</c:v>
                </c:pt>
                <c:pt idx="192">
                  <c:v>350</c:v>
                </c:pt>
                <c:pt idx="193">
                  <c:v>125</c:v>
                </c:pt>
                <c:pt idx="194">
                  <c:v>15</c:v>
                </c:pt>
                <c:pt idx="195">
                  <c:v>20</c:v>
                </c:pt>
                <c:pt idx="196">
                  <c:v>20</c:v>
                </c:pt>
                <c:pt idx="197">
                  <c:v>15</c:v>
                </c:pt>
                <c:pt idx="198">
                  <c:v>15</c:v>
                </c:pt>
                <c:pt idx="199">
                  <c:v>350</c:v>
                </c:pt>
                <c:pt idx="200">
                  <c:v>125</c:v>
                </c:pt>
                <c:pt idx="201">
                  <c:v>12</c:v>
                </c:pt>
                <c:pt idx="202">
                  <c:v>20</c:v>
                </c:pt>
                <c:pt idx="203">
                  <c:v>350</c:v>
                </c:pt>
                <c:pt idx="204">
                  <c:v>12</c:v>
                </c:pt>
                <c:pt idx="205">
                  <c:v>350</c:v>
                </c:pt>
                <c:pt idx="206">
                  <c:v>350</c:v>
                </c:pt>
                <c:pt idx="207">
                  <c:v>15</c:v>
                </c:pt>
                <c:pt idx="208">
                  <c:v>350</c:v>
                </c:pt>
                <c:pt idx="209">
                  <c:v>125</c:v>
                </c:pt>
                <c:pt idx="210">
                  <c:v>350</c:v>
                </c:pt>
                <c:pt idx="211">
                  <c:v>15</c:v>
                </c:pt>
                <c:pt idx="212">
                  <c:v>350</c:v>
                </c:pt>
                <c:pt idx="213">
                  <c:v>7</c:v>
                </c:pt>
                <c:pt idx="214">
                  <c:v>7</c:v>
                </c:pt>
                <c:pt idx="215">
                  <c:v>7</c:v>
                </c:pt>
                <c:pt idx="216">
                  <c:v>7</c:v>
                </c:pt>
                <c:pt idx="217">
                  <c:v>12</c:v>
                </c:pt>
                <c:pt idx="218">
                  <c:v>12</c:v>
                </c:pt>
                <c:pt idx="219">
                  <c:v>7</c:v>
                </c:pt>
                <c:pt idx="220">
                  <c:v>7</c:v>
                </c:pt>
                <c:pt idx="221">
                  <c:v>12</c:v>
                </c:pt>
                <c:pt idx="222">
                  <c:v>7</c:v>
                </c:pt>
                <c:pt idx="223">
                  <c:v>12</c:v>
                </c:pt>
                <c:pt idx="224">
                  <c:v>12</c:v>
                </c:pt>
                <c:pt idx="225">
                  <c:v>20</c:v>
                </c:pt>
                <c:pt idx="226">
                  <c:v>300</c:v>
                </c:pt>
                <c:pt idx="227">
                  <c:v>7</c:v>
                </c:pt>
                <c:pt idx="228">
                  <c:v>15</c:v>
                </c:pt>
                <c:pt idx="229">
                  <c:v>7</c:v>
                </c:pt>
                <c:pt idx="230">
                  <c:v>7</c:v>
                </c:pt>
                <c:pt idx="231">
                  <c:v>350</c:v>
                </c:pt>
                <c:pt idx="232">
                  <c:v>125</c:v>
                </c:pt>
                <c:pt idx="233">
                  <c:v>350</c:v>
                </c:pt>
                <c:pt idx="234">
                  <c:v>12</c:v>
                </c:pt>
                <c:pt idx="235">
                  <c:v>300</c:v>
                </c:pt>
                <c:pt idx="236">
                  <c:v>20</c:v>
                </c:pt>
                <c:pt idx="237">
                  <c:v>125</c:v>
                </c:pt>
                <c:pt idx="238">
                  <c:v>125</c:v>
                </c:pt>
                <c:pt idx="239">
                  <c:v>300</c:v>
                </c:pt>
                <c:pt idx="240">
                  <c:v>7</c:v>
                </c:pt>
                <c:pt idx="241">
                  <c:v>300</c:v>
                </c:pt>
                <c:pt idx="242">
                  <c:v>350</c:v>
                </c:pt>
                <c:pt idx="243">
                  <c:v>15</c:v>
                </c:pt>
                <c:pt idx="244">
                  <c:v>350</c:v>
                </c:pt>
                <c:pt idx="245">
                  <c:v>20</c:v>
                </c:pt>
                <c:pt idx="246">
                  <c:v>125</c:v>
                </c:pt>
                <c:pt idx="247">
                  <c:v>125</c:v>
                </c:pt>
                <c:pt idx="248">
                  <c:v>20</c:v>
                </c:pt>
                <c:pt idx="249">
                  <c:v>20</c:v>
                </c:pt>
                <c:pt idx="250">
                  <c:v>7</c:v>
                </c:pt>
                <c:pt idx="251">
                  <c:v>15</c:v>
                </c:pt>
                <c:pt idx="252">
                  <c:v>15</c:v>
                </c:pt>
                <c:pt idx="253">
                  <c:v>15</c:v>
                </c:pt>
                <c:pt idx="254">
                  <c:v>125</c:v>
                </c:pt>
                <c:pt idx="255">
                  <c:v>350</c:v>
                </c:pt>
                <c:pt idx="256">
                  <c:v>20</c:v>
                </c:pt>
                <c:pt idx="257">
                  <c:v>20</c:v>
                </c:pt>
                <c:pt idx="258">
                  <c:v>125</c:v>
                </c:pt>
                <c:pt idx="259">
                  <c:v>125</c:v>
                </c:pt>
                <c:pt idx="260">
                  <c:v>20</c:v>
                </c:pt>
                <c:pt idx="261">
                  <c:v>300</c:v>
                </c:pt>
                <c:pt idx="262">
                  <c:v>20</c:v>
                </c:pt>
                <c:pt idx="263">
                  <c:v>20</c:v>
                </c:pt>
                <c:pt idx="264">
                  <c:v>20</c:v>
                </c:pt>
                <c:pt idx="265">
                  <c:v>20</c:v>
                </c:pt>
                <c:pt idx="266">
                  <c:v>7</c:v>
                </c:pt>
                <c:pt idx="267">
                  <c:v>7</c:v>
                </c:pt>
                <c:pt idx="268">
                  <c:v>350</c:v>
                </c:pt>
                <c:pt idx="269">
                  <c:v>350</c:v>
                </c:pt>
                <c:pt idx="270">
                  <c:v>350</c:v>
                </c:pt>
                <c:pt idx="271">
                  <c:v>300</c:v>
                </c:pt>
                <c:pt idx="272">
                  <c:v>15</c:v>
                </c:pt>
                <c:pt idx="273">
                  <c:v>20</c:v>
                </c:pt>
                <c:pt idx="274">
                  <c:v>15</c:v>
                </c:pt>
                <c:pt idx="275">
                  <c:v>12</c:v>
                </c:pt>
                <c:pt idx="276">
                  <c:v>12</c:v>
                </c:pt>
                <c:pt idx="277">
                  <c:v>15</c:v>
                </c:pt>
                <c:pt idx="278">
                  <c:v>7</c:v>
                </c:pt>
                <c:pt idx="279">
                  <c:v>125</c:v>
                </c:pt>
                <c:pt idx="280">
                  <c:v>350</c:v>
                </c:pt>
                <c:pt idx="281">
                  <c:v>350</c:v>
                </c:pt>
                <c:pt idx="282">
                  <c:v>7</c:v>
                </c:pt>
                <c:pt idx="283">
                  <c:v>12</c:v>
                </c:pt>
                <c:pt idx="284">
                  <c:v>350</c:v>
                </c:pt>
                <c:pt idx="285">
                  <c:v>12</c:v>
                </c:pt>
                <c:pt idx="286">
                  <c:v>350</c:v>
                </c:pt>
                <c:pt idx="287">
                  <c:v>125</c:v>
                </c:pt>
                <c:pt idx="288">
                  <c:v>125</c:v>
                </c:pt>
                <c:pt idx="289">
                  <c:v>15</c:v>
                </c:pt>
                <c:pt idx="290">
                  <c:v>350</c:v>
                </c:pt>
                <c:pt idx="291">
                  <c:v>7</c:v>
                </c:pt>
                <c:pt idx="292">
                  <c:v>300</c:v>
                </c:pt>
                <c:pt idx="293">
                  <c:v>350</c:v>
                </c:pt>
                <c:pt idx="294">
                  <c:v>15</c:v>
                </c:pt>
                <c:pt idx="295">
                  <c:v>7</c:v>
                </c:pt>
                <c:pt idx="296">
                  <c:v>300</c:v>
                </c:pt>
                <c:pt idx="297">
                  <c:v>20</c:v>
                </c:pt>
                <c:pt idx="298">
                  <c:v>300</c:v>
                </c:pt>
                <c:pt idx="299">
                  <c:v>125</c:v>
                </c:pt>
                <c:pt idx="300">
                  <c:v>350</c:v>
                </c:pt>
                <c:pt idx="301">
                  <c:v>350</c:v>
                </c:pt>
                <c:pt idx="302">
                  <c:v>7</c:v>
                </c:pt>
                <c:pt idx="303">
                  <c:v>350</c:v>
                </c:pt>
                <c:pt idx="304">
                  <c:v>20</c:v>
                </c:pt>
                <c:pt idx="305">
                  <c:v>15</c:v>
                </c:pt>
                <c:pt idx="306">
                  <c:v>15</c:v>
                </c:pt>
                <c:pt idx="307">
                  <c:v>15</c:v>
                </c:pt>
                <c:pt idx="308">
                  <c:v>20</c:v>
                </c:pt>
                <c:pt idx="309">
                  <c:v>20</c:v>
                </c:pt>
                <c:pt idx="310">
                  <c:v>7</c:v>
                </c:pt>
                <c:pt idx="311">
                  <c:v>15</c:v>
                </c:pt>
                <c:pt idx="312">
                  <c:v>12</c:v>
                </c:pt>
                <c:pt idx="313">
                  <c:v>12</c:v>
                </c:pt>
                <c:pt idx="314">
                  <c:v>20</c:v>
                </c:pt>
                <c:pt idx="315">
                  <c:v>12</c:v>
                </c:pt>
                <c:pt idx="316">
                  <c:v>12</c:v>
                </c:pt>
                <c:pt idx="317">
                  <c:v>7</c:v>
                </c:pt>
                <c:pt idx="318">
                  <c:v>15</c:v>
                </c:pt>
                <c:pt idx="319">
                  <c:v>7</c:v>
                </c:pt>
                <c:pt idx="320">
                  <c:v>7</c:v>
                </c:pt>
                <c:pt idx="321">
                  <c:v>7</c:v>
                </c:pt>
                <c:pt idx="322">
                  <c:v>12</c:v>
                </c:pt>
                <c:pt idx="323">
                  <c:v>12</c:v>
                </c:pt>
                <c:pt idx="324">
                  <c:v>7</c:v>
                </c:pt>
                <c:pt idx="325">
                  <c:v>7</c:v>
                </c:pt>
                <c:pt idx="326">
                  <c:v>350</c:v>
                </c:pt>
                <c:pt idx="327">
                  <c:v>300</c:v>
                </c:pt>
                <c:pt idx="328">
                  <c:v>300</c:v>
                </c:pt>
                <c:pt idx="329">
                  <c:v>20</c:v>
                </c:pt>
                <c:pt idx="330">
                  <c:v>300</c:v>
                </c:pt>
                <c:pt idx="331">
                  <c:v>125</c:v>
                </c:pt>
                <c:pt idx="332">
                  <c:v>300</c:v>
                </c:pt>
                <c:pt idx="333">
                  <c:v>300</c:v>
                </c:pt>
                <c:pt idx="334">
                  <c:v>125</c:v>
                </c:pt>
                <c:pt idx="335">
                  <c:v>15</c:v>
                </c:pt>
                <c:pt idx="336">
                  <c:v>15</c:v>
                </c:pt>
                <c:pt idx="337">
                  <c:v>20</c:v>
                </c:pt>
                <c:pt idx="338">
                  <c:v>300</c:v>
                </c:pt>
                <c:pt idx="339">
                  <c:v>300</c:v>
                </c:pt>
                <c:pt idx="340">
                  <c:v>12</c:v>
                </c:pt>
                <c:pt idx="341">
                  <c:v>7</c:v>
                </c:pt>
                <c:pt idx="342">
                  <c:v>300</c:v>
                </c:pt>
                <c:pt idx="343">
                  <c:v>20</c:v>
                </c:pt>
                <c:pt idx="344">
                  <c:v>125</c:v>
                </c:pt>
                <c:pt idx="345">
                  <c:v>20</c:v>
                </c:pt>
                <c:pt idx="346">
                  <c:v>20</c:v>
                </c:pt>
                <c:pt idx="347">
                  <c:v>300</c:v>
                </c:pt>
                <c:pt idx="348">
                  <c:v>20</c:v>
                </c:pt>
                <c:pt idx="349">
                  <c:v>12</c:v>
                </c:pt>
                <c:pt idx="350">
                  <c:v>300</c:v>
                </c:pt>
                <c:pt idx="351">
                  <c:v>300</c:v>
                </c:pt>
                <c:pt idx="352">
                  <c:v>125</c:v>
                </c:pt>
                <c:pt idx="353">
                  <c:v>350</c:v>
                </c:pt>
                <c:pt idx="354">
                  <c:v>125</c:v>
                </c:pt>
                <c:pt idx="355">
                  <c:v>20</c:v>
                </c:pt>
                <c:pt idx="356">
                  <c:v>300</c:v>
                </c:pt>
                <c:pt idx="357">
                  <c:v>7</c:v>
                </c:pt>
                <c:pt idx="358">
                  <c:v>20</c:v>
                </c:pt>
                <c:pt idx="359">
                  <c:v>7</c:v>
                </c:pt>
                <c:pt idx="360">
                  <c:v>20</c:v>
                </c:pt>
                <c:pt idx="361">
                  <c:v>125</c:v>
                </c:pt>
                <c:pt idx="362">
                  <c:v>15</c:v>
                </c:pt>
                <c:pt idx="363">
                  <c:v>350</c:v>
                </c:pt>
                <c:pt idx="364">
                  <c:v>15</c:v>
                </c:pt>
                <c:pt idx="365">
                  <c:v>20</c:v>
                </c:pt>
                <c:pt idx="366">
                  <c:v>20</c:v>
                </c:pt>
                <c:pt idx="367">
                  <c:v>300</c:v>
                </c:pt>
                <c:pt idx="368">
                  <c:v>300</c:v>
                </c:pt>
                <c:pt idx="369">
                  <c:v>15</c:v>
                </c:pt>
                <c:pt idx="370">
                  <c:v>125</c:v>
                </c:pt>
                <c:pt idx="371">
                  <c:v>7</c:v>
                </c:pt>
                <c:pt idx="372">
                  <c:v>7</c:v>
                </c:pt>
                <c:pt idx="373">
                  <c:v>20</c:v>
                </c:pt>
                <c:pt idx="374">
                  <c:v>300</c:v>
                </c:pt>
                <c:pt idx="375">
                  <c:v>7</c:v>
                </c:pt>
                <c:pt idx="376">
                  <c:v>7</c:v>
                </c:pt>
                <c:pt idx="377">
                  <c:v>7</c:v>
                </c:pt>
                <c:pt idx="378">
                  <c:v>20</c:v>
                </c:pt>
                <c:pt idx="379">
                  <c:v>20</c:v>
                </c:pt>
                <c:pt idx="380">
                  <c:v>350</c:v>
                </c:pt>
                <c:pt idx="381">
                  <c:v>7</c:v>
                </c:pt>
                <c:pt idx="382">
                  <c:v>350</c:v>
                </c:pt>
                <c:pt idx="383">
                  <c:v>12</c:v>
                </c:pt>
                <c:pt idx="384">
                  <c:v>7</c:v>
                </c:pt>
                <c:pt idx="385">
                  <c:v>7</c:v>
                </c:pt>
                <c:pt idx="386">
                  <c:v>300</c:v>
                </c:pt>
                <c:pt idx="387">
                  <c:v>300</c:v>
                </c:pt>
                <c:pt idx="388">
                  <c:v>350</c:v>
                </c:pt>
                <c:pt idx="389">
                  <c:v>7</c:v>
                </c:pt>
                <c:pt idx="390">
                  <c:v>350</c:v>
                </c:pt>
                <c:pt idx="391">
                  <c:v>350</c:v>
                </c:pt>
                <c:pt idx="392">
                  <c:v>300</c:v>
                </c:pt>
                <c:pt idx="393">
                  <c:v>300</c:v>
                </c:pt>
                <c:pt idx="394">
                  <c:v>20</c:v>
                </c:pt>
                <c:pt idx="395">
                  <c:v>7</c:v>
                </c:pt>
                <c:pt idx="396">
                  <c:v>20</c:v>
                </c:pt>
                <c:pt idx="397">
                  <c:v>300</c:v>
                </c:pt>
                <c:pt idx="398">
                  <c:v>20</c:v>
                </c:pt>
                <c:pt idx="399">
                  <c:v>15</c:v>
                </c:pt>
                <c:pt idx="400">
                  <c:v>12</c:v>
                </c:pt>
                <c:pt idx="401">
                  <c:v>300</c:v>
                </c:pt>
                <c:pt idx="402">
                  <c:v>20</c:v>
                </c:pt>
                <c:pt idx="403">
                  <c:v>300</c:v>
                </c:pt>
                <c:pt idx="404">
                  <c:v>12</c:v>
                </c:pt>
                <c:pt idx="405">
                  <c:v>300</c:v>
                </c:pt>
                <c:pt idx="406">
                  <c:v>350</c:v>
                </c:pt>
                <c:pt idx="407">
                  <c:v>300</c:v>
                </c:pt>
                <c:pt idx="408">
                  <c:v>12</c:v>
                </c:pt>
                <c:pt idx="409">
                  <c:v>125</c:v>
                </c:pt>
                <c:pt idx="410">
                  <c:v>7</c:v>
                </c:pt>
                <c:pt idx="411">
                  <c:v>125</c:v>
                </c:pt>
                <c:pt idx="412">
                  <c:v>300</c:v>
                </c:pt>
                <c:pt idx="413">
                  <c:v>300</c:v>
                </c:pt>
                <c:pt idx="414">
                  <c:v>350</c:v>
                </c:pt>
                <c:pt idx="415">
                  <c:v>15</c:v>
                </c:pt>
                <c:pt idx="416">
                  <c:v>300</c:v>
                </c:pt>
                <c:pt idx="417">
                  <c:v>15</c:v>
                </c:pt>
                <c:pt idx="418">
                  <c:v>12</c:v>
                </c:pt>
                <c:pt idx="419">
                  <c:v>300</c:v>
                </c:pt>
                <c:pt idx="420">
                  <c:v>12</c:v>
                </c:pt>
                <c:pt idx="421">
                  <c:v>125</c:v>
                </c:pt>
                <c:pt idx="422">
                  <c:v>15</c:v>
                </c:pt>
                <c:pt idx="423">
                  <c:v>300</c:v>
                </c:pt>
                <c:pt idx="424">
                  <c:v>350</c:v>
                </c:pt>
                <c:pt idx="425">
                  <c:v>125</c:v>
                </c:pt>
                <c:pt idx="426">
                  <c:v>125</c:v>
                </c:pt>
                <c:pt idx="427">
                  <c:v>350</c:v>
                </c:pt>
                <c:pt idx="428">
                  <c:v>12</c:v>
                </c:pt>
                <c:pt idx="429">
                  <c:v>300</c:v>
                </c:pt>
                <c:pt idx="430">
                  <c:v>350</c:v>
                </c:pt>
                <c:pt idx="431">
                  <c:v>12</c:v>
                </c:pt>
                <c:pt idx="432">
                  <c:v>300</c:v>
                </c:pt>
                <c:pt idx="433">
                  <c:v>12</c:v>
                </c:pt>
                <c:pt idx="434">
                  <c:v>15</c:v>
                </c:pt>
                <c:pt idx="435">
                  <c:v>125</c:v>
                </c:pt>
                <c:pt idx="436">
                  <c:v>350</c:v>
                </c:pt>
                <c:pt idx="437">
                  <c:v>350</c:v>
                </c:pt>
                <c:pt idx="438">
                  <c:v>15</c:v>
                </c:pt>
                <c:pt idx="439">
                  <c:v>20</c:v>
                </c:pt>
                <c:pt idx="440">
                  <c:v>20</c:v>
                </c:pt>
                <c:pt idx="441">
                  <c:v>7</c:v>
                </c:pt>
                <c:pt idx="442">
                  <c:v>12</c:v>
                </c:pt>
                <c:pt idx="443">
                  <c:v>7</c:v>
                </c:pt>
                <c:pt idx="444">
                  <c:v>20</c:v>
                </c:pt>
                <c:pt idx="445">
                  <c:v>20</c:v>
                </c:pt>
                <c:pt idx="446">
                  <c:v>7</c:v>
                </c:pt>
                <c:pt idx="447">
                  <c:v>12</c:v>
                </c:pt>
                <c:pt idx="448">
                  <c:v>15</c:v>
                </c:pt>
                <c:pt idx="449">
                  <c:v>7</c:v>
                </c:pt>
                <c:pt idx="450">
                  <c:v>20</c:v>
                </c:pt>
                <c:pt idx="451">
                  <c:v>7</c:v>
                </c:pt>
                <c:pt idx="452">
                  <c:v>20</c:v>
                </c:pt>
                <c:pt idx="453">
                  <c:v>15</c:v>
                </c:pt>
                <c:pt idx="454">
                  <c:v>12</c:v>
                </c:pt>
                <c:pt idx="455">
                  <c:v>12</c:v>
                </c:pt>
                <c:pt idx="456">
                  <c:v>7</c:v>
                </c:pt>
                <c:pt idx="457">
                  <c:v>12</c:v>
                </c:pt>
                <c:pt idx="458">
                  <c:v>125</c:v>
                </c:pt>
                <c:pt idx="459">
                  <c:v>125</c:v>
                </c:pt>
                <c:pt idx="460">
                  <c:v>350</c:v>
                </c:pt>
                <c:pt idx="461">
                  <c:v>125</c:v>
                </c:pt>
                <c:pt idx="462">
                  <c:v>15</c:v>
                </c:pt>
                <c:pt idx="463">
                  <c:v>20</c:v>
                </c:pt>
                <c:pt idx="464">
                  <c:v>300</c:v>
                </c:pt>
                <c:pt idx="465">
                  <c:v>15</c:v>
                </c:pt>
                <c:pt idx="466">
                  <c:v>20</c:v>
                </c:pt>
                <c:pt idx="467">
                  <c:v>15</c:v>
                </c:pt>
                <c:pt idx="468">
                  <c:v>15</c:v>
                </c:pt>
                <c:pt idx="469">
                  <c:v>15</c:v>
                </c:pt>
                <c:pt idx="470">
                  <c:v>350</c:v>
                </c:pt>
                <c:pt idx="471">
                  <c:v>125</c:v>
                </c:pt>
                <c:pt idx="472">
                  <c:v>300</c:v>
                </c:pt>
                <c:pt idx="473">
                  <c:v>20</c:v>
                </c:pt>
                <c:pt idx="474">
                  <c:v>7</c:v>
                </c:pt>
                <c:pt idx="475">
                  <c:v>125</c:v>
                </c:pt>
                <c:pt idx="476">
                  <c:v>300</c:v>
                </c:pt>
                <c:pt idx="477">
                  <c:v>125</c:v>
                </c:pt>
                <c:pt idx="478">
                  <c:v>15</c:v>
                </c:pt>
                <c:pt idx="479">
                  <c:v>350</c:v>
                </c:pt>
                <c:pt idx="480">
                  <c:v>300</c:v>
                </c:pt>
                <c:pt idx="481">
                  <c:v>300</c:v>
                </c:pt>
                <c:pt idx="482">
                  <c:v>15</c:v>
                </c:pt>
                <c:pt idx="483">
                  <c:v>125</c:v>
                </c:pt>
                <c:pt idx="484">
                  <c:v>350</c:v>
                </c:pt>
                <c:pt idx="485">
                  <c:v>125</c:v>
                </c:pt>
                <c:pt idx="486">
                  <c:v>350</c:v>
                </c:pt>
                <c:pt idx="487">
                  <c:v>300</c:v>
                </c:pt>
                <c:pt idx="488">
                  <c:v>12</c:v>
                </c:pt>
                <c:pt idx="489">
                  <c:v>20</c:v>
                </c:pt>
                <c:pt idx="490">
                  <c:v>12</c:v>
                </c:pt>
                <c:pt idx="491">
                  <c:v>350</c:v>
                </c:pt>
                <c:pt idx="492">
                  <c:v>15</c:v>
                </c:pt>
                <c:pt idx="493">
                  <c:v>300</c:v>
                </c:pt>
                <c:pt idx="494">
                  <c:v>12</c:v>
                </c:pt>
                <c:pt idx="495">
                  <c:v>7</c:v>
                </c:pt>
                <c:pt idx="496">
                  <c:v>12</c:v>
                </c:pt>
                <c:pt idx="497">
                  <c:v>15</c:v>
                </c:pt>
                <c:pt idx="498">
                  <c:v>12</c:v>
                </c:pt>
                <c:pt idx="499">
                  <c:v>7</c:v>
                </c:pt>
                <c:pt idx="500">
                  <c:v>12</c:v>
                </c:pt>
                <c:pt idx="501">
                  <c:v>15</c:v>
                </c:pt>
                <c:pt idx="502">
                  <c:v>12</c:v>
                </c:pt>
                <c:pt idx="503">
                  <c:v>12</c:v>
                </c:pt>
                <c:pt idx="504">
                  <c:v>350</c:v>
                </c:pt>
                <c:pt idx="505">
                  <c:v>300</c:v>
                </c:pt>
                <c:pt idx="506">
                  <c:v>125</c:v>
                </c:pt>
                <c:pt idx="507">
                  <c:v>15</c:v>
                </c:pt>
                <c:pt idx="508">
                  <c:v>7</c:v>
                </c:pt>
                <c:pt idx="509">
                  <c:v>350</c:v>
                </c:pt>
                <c:pt idx="510">
                  <c:v>20</c:v>
                </c:pt>
                <c:pt idx="511">
                  <c:v>15</c:v>
                </c:pt>
                <c:pt idx="512">
                  <c:v>300</c:v>
                </c:pt>
                <c:pt idx="513">
                  <c:v>20</c:v>
                </c:pt>
                <c:pt idx="514">
                  <c:v>350</c:v>
                </c:pt>
                <c:pt idx="515">
                  <c:v>12</c:v>
                </c:pt>
                <c:pt idx="516">
                  <c:v>12</c:v>
                </c:pt>
                <c:pt idx="517">
                  <c:v>20</c:v>
                </c:pt>
                <c:pt idx="518">
                  <c:v>15</c:v>
                </c:pt>
                <c:pt idx="519">
                  <c:v>125</c:v>
                </c:pt>
                <c:pt idx="520">
                  <c:v>20</c:v>
                </c:pt>
                <c:pt idx="521">
                  <c:v>300</c:v>
                </c:pt>
                <c:pt idx="522">
                  <c:v>20</c:v>
                </c:pt>
                <c:pt idx="523">
                  <c:v>15</c:v>
                </c:pt>
                <c:pt idx="524">
                  <c:v>350</c:v>
                </c:pt>
                <c:pt idx="525">
                  <c:v>7</c:v>
                </c:pt>
                <c:pt idx="526">
                  <c:v>12</c:v>
                </c:pt>
                <c:pt idx="527">
                  <c:v>125</c:v>
                </c:pt>
                <c:pt idx="528">
                  <c:v>20</c:v>
                </c:pt>
                <c:pt idx="529">
                  <c:v>125</c:v>
                </c:pt>
                <c:pt idx="530">
                  <c:v>20</c:v>
                </c:pt>
                <c:pt idx="531">
                  <c:v>125</c:v>
                </c:pt>
                <c:pt idx="532">
                  <c:v>125</c:v>
                </c:pt>
                <c:pt idx="533">
                  <c:v>350</c:v>
                </c:pt>
                <c:pt idx="534">
                  <c:v>15</c:v>
                </c:pt>
                <c:pt idx="535">
                  <c:v>7</c:v>
                </c:pt>
                <c:pt idx="536">
                  <c:v>350</c:v>
                </c:pt>
                <c:pt idx="537">
                  <c:v>125</c:v>
                </c:pt>
                <c:pt idx="538">
                  <c:v>125</c:v>
                </c:pt>
                <c:pt idx="539">
                  <c:v>15</c:v>
                </c:pt>
                <c:pt idx="540">
                  <c:v>15</c:v>
                </c:pt>
                <c:pt idx="541">
                  <c:v>300</c:v>
                </c:pt>
                <c:pt idx="542">
                  <c:v>7</c:v>
                </c:pt>
                <c:pt idx="543">
                  <c:v>7</c:v>
                </c:pt>
                <c:pt idx="544">
                  <c:v>20</c:v>
                </c:pt>
                <c:pt idx="545">
                  <c:v>300</c:v>
                </c:pt>
                <c:pt idx="546">
                  <c:v>300</c:v>
                </c:pt>
                <c:pt idx="547">
                  <c:v>350</c:v>
                </c:pt>
                <c:pt idx="548">
                  <c:v>125</c:v>
                </c:pt>
                <c:pt idx="549">
                  <c:v>20</c:v>
                </c:pt>
                <c:pt idx="550">
                  <c:v>20</c:v>
                </c:pt>
                <c:pt idx="551">
                  <c:v>350</c:v>
                </c:pt>
                <c:pt idx="552">
                  <c:v>300</c:v>
                </c:pt>
                <c:pt idx="553">
                  <c:v>300</c:v>
                </c:pt>
                <c:pt idx="554">
                  <c:v>350</c:v>
                </c:pt>
                <c:pt idx="555">
                  <c:v>15</c:v>
                </c:pt>
                <c:pt idx="556">
                  <c:v>20</c:v>
                </c:pt>
                <c:pt idx="557">
                  <c:v>350</c:v>
                </c:pt>
                <c:pt idx="558">
                  <c:v>350</c:v>
                </c:pt>
                <c:pt idx="559">
                  <c:v>20</c:v>
                </c:pt>
                <c:pt idx="560">
                  <c:v>12</c:v>
                </c:pt>
                <c:pt idx="561">
                  <c:v>15</c:v>
                </c:pt>
                <c:pt idx="562">
                  <c:v>350</c:v>
                </c:pt>
                <c:pt idx="563">
                  <c:v>350</c:v>
                </c:pt>
                <c:pt idx="564">
                  <c:v>125</c:v>
                </c:pt>
                <c:pt idx="565">
                  <c:v>20</c:v>
                </c:pt>
                <c:pt idx="566">
                  <c:v>350</c:v>
                </c:pt>
                <c:pt idx="567">
                  <c:v>7</c:v>
                </c:pt>
                <c:pt idx="568">
                  <c:v>7</c:v>
                </c:pt>
                <c:pt idx="569">
                  <c:v>15</c:v>
                </c:pt>
                <c:pt idx="570">
                  <c:v>20</c:v>
                </c:pt>
                <c:pt idx="571">
                  <c:v>12</c:v>
                </c:pt>
                <c:pt idx="572">
                  <c:v>20</c:v>
                </c:pt>
                <c:pt idx="573">
                  <c:v>7</c:v>
                </c:pt>
                <c:pt idx="574">
                  <c:v>20</c:v>
                </c:pt>
                <c:pt idx="575">
                  <c:v>12</c:v>
                </c:pt>
                <c:pt idx="576">
                  <c:v>15</c:v>
                </c:pt>
                <c:pt idx="577">
                  <c:v>15</c:v>
                </c:pt>
                <c:pt idx="578">
                  <c:v>350</c:v>
                </c:pt>
                <c:pt idx="579">
                  <c:v>350</c:v>
                </c:pt>
                <c:pt idx="580">
                  <c:v>20</c:v>
                </c:pt>
                <c:pt idx="581">
                  <c:v>350</c:v>
                </c:pt>
                <c:pt idx="582">
                  <c:v>7</c:v>
                </c:pt>
                <c:pt idx="583">
                  <c:v>12</c:v>
                </c:pt>
                <c:pt idx="584">
                  <c:v>20</c:v>
                </c:pt>
                <c:pt idx="585">
                  <c:v>20</c:v>
                </c:pt>
                <c:pt idx="586">
                  <c:v>7</c:v>
                </c:pt>
                <c:pt idx="587">
                  <c:v>300</c:v>
                </c:pt>
                <c:pt idx="588">
                  <c:v>20</c:v>
                </c:pt>
                <c:pt idx="589">
                  <c:v>20</c:v>
                </c:pt>
                <c:pt idx="590">
                  <c:v>350</c:v>
                </c:pt>
                <c:pt idx="591">
                  <c:v>125</c:v>
                </c:pt>
                <c:pt idx="592">
                  <c:v>12</c:v>
                </c:pt>
                <c:pt idx="593">
                  <c:v>7</c:v>
                </c:pt>
                <c:pt idx="594">
                  <c:v>15</c:v>
                </c:pt>
                <c:pt idx="595">
                  <c:v>20</c:v>
                </c:pt>
                <c:pt idx="596">
                  <c:v>350</c:v>
                </c:pt>
                <c:pt idx="597">
                  <c:v>12</c:v>
                </c:pt>
                <c:pt idx="598">
                  <c:v>15</c:v>
                </c:pt>
                <c:pt idx="599">
                  <c:v>350</c:v>
                </c:pt>
                <c:pt idx="600">
                  <c:v>7</c:v>
                </c:pt>
                <c:pt idx="601">
                  <c:v>12</c:v>
                </c:pt>
                <c:pt idx="602">
                  <c:v>15</c:v>
                </c:pt>
                <c:pt idx="603">
                  <c:v>12</c:v>
                </c:pt>
                <c:pt idx="604">
                  <c:v>300</c:v>
                </c:pt>
                <c:pt idx="605">
                  <c:v>12</c:v>
                </c:pt>
                <c:pt idx="606">
                  <c:v>125</c:v>
                </c:pt>
                <c:pt idx="607">
                  <c:v>15</c:v>
                </c:pt>
                <c:pt idx="608">
                  <c:v>125</c:v>
                </c:pt>
                <c:pt idx="609">
                  <c:v>7</c:v>
                </c:pt>
                <c:pt idx="610">
                  <c:v>12</c:v>
                </c:pt>
                <c:pt idx="611">
                  <c:v>12</c:v>
                </c:pt>
                <c:pt idx="612">
                  <c:v>20</c:v>
                </c:pt>
                <c:pt idx="613">
                  <c:v>20</c:v>
                </c:pt>
                <c:pt idx="614">
                  <c:v>7</c:v>
                </c:pt>
                <c:pt idx="615">
                  <c:v>7</c:v>
                </c:pt>
                <c:pt idx="616">
                  <c:v>7</c:v>
                </c:pt>
                <c:pt idx="617">
                  <c:v>7</c:v>
                </c:pt>
                <c:pt idx="618">
                  <c:v>15</c:v>
                </c:pt>
                <c:pt idx="619">
                  <c:v>20</c:v>
                </c:pt>
                <c:pt idx="620">
                  <c:v>15</c:v>
                </c:pt>
                <c:pt idx="621">
                  <c:v>12</c:v>
                </c:pt>
                <c:pt idx="622">
                  <c:v>7</c:v>
                </c:pt>
                <c:pt idx="623">
                  <c:v>12</c:v>
                </c:pt>
                <c:pt idx="624">
                  <c:v>12</c:v>
                </c:pt>
                <c:pt idx="625">
                  <c:v>300</c:v>
                </c:pt>
                <c:pt idx="626">
                  <c:v>125</c:v>
                </c:pt>
                <c:pt idx="627">
                  <c:v>300</c:v>
                </c:pt>
                <c:pt idx="628">
                  <c:v>300</c:v>
                </c:pt>
                <c:pt idx="629">
                  <c:v>15</c:v>
                </c:pt>
                <c:pt idx="630">
                  <c:v>15</c:v>
                </c:pt>
                <c:pt idx="631">
                  <c:v>125</c:v>
                </c:pt>
                <c:pt idx="632">
                  <c:v>350</c:v>
                </c:pt>
                <c:pt idx="633">
                  <c:v>350</c:v>
                </c:pt>
                <c:pt idx="634">
                  <c:v>350</c:v>
                </c:pt>
                <c:pt idx="635">
                  <c:v>7</c:v>
                </c:pt>
                <c:pt idx="636">
                  <c:v>7</c:v>
                </c:pt>
                <c:pt idx="637">
                  <c:v>15</c:v>
                </c:pt>
                <c:pt idx="638">
                  <c:v>20</c:v>
                </c:pt>
                <c:pt idx="639">
                  <c:v>15</c:v>
                </c:pt>
                <c:pt idx="640">
                  <c:v>15</c:v>
                </c:pt>
                <c:pt idx="641">
                  <c:v>12</c:v>
                </c:pt>
                <c:pt idx="642">
                  <c:v>7</c:v>
                </c:pt>
                <c:pt idx="643">
                  <c:v>350</c:v>
                </c:pt>
                <c:pt idx="644">
                  <c:v>12</c:v>
                </c:pt>
                <c:pt idx="645">
                  <c:v>350</c:v>
                </c:pt>
                <c:pt idx="646">
                  <c:v>350</c:v>
                </c:pt>
                <c:pt idx="647">
                  <c:v>125</c:v>
                </c:pt>
                <c:pt idx="648">
                  <c:v>20</c:v>
                </c:pt>
                <c:pt idx="649">
                  <c:v>300</c:v>
                </c:pt>
                <c:pt idx="650">
                  <c:v>300</c:v>
                </c:pt>
                <c:pt idx="651">
                  <c:v>300</c:v>
                </c:pt>
                <c:pt idx="652">
                  <c:v>7</c:v>
                </c:pt>
                <c:pt idx="653">
                  <c:v>300</c:v>
                </c:pt>
                <c:pt idx="654">
                  <c:v>300</c:v>
                </c:pt>
                <c:pt idx="655">
                  <c:v>300</c:v>
                </c:pt>
                <c:pt idx="656">
                  <c:v>300</c:v>
                </c:pt>
                <c:pt idx="657">
                  <c:v>350</c:v>
                </c:pt>
                <c:pt idx="658">
                  <c:v>300</c:v>
                </c:pt>
                <c:pt idx="659">
                  <c:v>125</c:v>
                </c:pt>
                <c:pt idx="660">
                  <c:v>12</c:v>
                </c:pt>
                <c:pt idx="661">
                  <c:v>15</c:v>
                </c:pt>
                <c:pt idx="662">
                  <c:v>12</c:v>
                </c:pt>
                <c:pt idx="663">
                  <c:v>7</c:v>
                </c:pt>
                <c:pt idx="664">
                  <c:v>7</c:v>
                </c:pt>
                <c:pt idx="665">
                  <c:v>15</c:v>
                </c:pt>
                <c:pt idx="666">
                  <c:v>125</c:v>
                </c:pt>
                <c:pt idx="667">
                  <c:v>125</c:v>
                </c:pt>
                <c:pt idx="668">
                  <c:v>125</c:v>
                </c:pt>
                <c:pt idx="669">
                  <c:v>300</c:v>
                </c:pt>
                <c:pt idx="670">
                  <c:v>20</c:v>
                </c:pt>
                <c:pt idx="671">
                  <c:v>15</c:v>
                </c:pt>
                <c:pt idx="672">
                  <c:v>7</c:v>
                </c:pt>
                <c:pt idx="673">
                  <c:v>350</c:v>
                </c:pt>
                <c:pt idx="674">
                  <c:v>15</c:v>
                </c:pt>
                <c:pt idx="675">
                  <c:v>20</c:v>
                </c:pt>
                <c:pt idx="676">
                  <c:v>125</c:v>
                </c:pt>
                <c:pt idx="677">
                  <c:v>15</c:v>
                </c:pt>
                <c:pt idx="678">
                  <c:v>350</c:v>
                </c:pt>
                <c:pt idx="679">
                  <c:v>350</c:v>
                </c:pt>
                <c:pt idx="680">
                  <c:v>12</c:v>
                </c:pt>
                <c:pt idx="681">
                  <c:v>20</c:v>
                </c:pt>
                <c:pt idx="682">
                  <c:v>12</c:v>
                </c:pt>
                <c:pt idx="683">
                  <c:v>15</c:v>
                </c:pt>
                <c:pt idx="684">
                  <c:v>125</c:v>
                </c:pt>
                <c:pt idx="685">
                  <c:v>300</c:v>
                </c:pt>
                <c:pt idx="686">
                  <c:v>125</c:v>
                </c:pt>
                <c:pt idx="687">
                  <c:v>12</c:v>
                </c:pt>
                <c:pt idx="688">
                  <c:v>20</c:v>
                </c:pt>
                <c:pt idx="689">
                  <c:v>15</c:v>
                </c:pt>
                <c:pt idx="690">
                  <c:v>20</c:v>
                </c:pt>
                <c:pt idx="691">
                  <c:v>15</c:v>
                </c:pt>
                <c:pt idx="692">
                  <c:v>125</c:v>
                </c:pt>
                <c:pt idx="693">
                  <c:v>125</c:v>
                </c:pt>
                <c:pt idx="694">
                  <c:v>20</c:v>
                </c:pt>
                <c:pt idx="695">
                  <c:v>300</c:v>
                </c:pt>
                <c:pt idx="696">
                  <c:v>300</c:v>
                </c:pt>
                <c:pt idx="697">
                  <c:v>7</c:v>
                </c:pt>
                <c:pt idx="698">
                  <c:v>7</c:v>
                </c:pt>
                <c:pt idx="699">
                  <c:v>12</c:v>
                </c:pt>
              </c:numCache>
            </c:numRef>
          </c:bubbleSize>
          <c:bubble3D val="0"/>
          <c:extLst>
            <c:ext xmlns:c16="http://schemas.microsoft.com/office/drawing/2014/chart" uri="{C3380CC4-5D6E-409C-BE32-E72D297353CC}">
              <c16:uniqueId val="{00000001-190B-4CCD-A5AC-D8A18D1CEC3F}"/>
            </c:ext>
          </c:extLst>
        </c:ser>
        <c:ser>
          <c:idx val="2"/>
          <c:order val="2"/>
          <c:spPr>
            <a:solidFill>
              <a:schemeClr val="accent3">
                <a:alpha val="75000"/>
              </a:schemeClr>
            </a:solidFill>
            <a:ln w="25400">
              <a:noFill/>
            </a:ln>
            <a:effectLst/>
          </c:spPr>
          <c:invertIfNegative val="0"/>
          <c:xVal>
            <c:strRef>
              <c:f>Sheet1!$A$4:$A$703</c:f>
              <c:strCache>
                <c:ptCount val="700"/>
                <c:pt idx="0">
                  <c:v>Government-Canada-Carretera</c:v>
                </c:pt>
                <c:pt idx="1">
                  <c:v>Government-Germany-Carretera</c:v>
                </c:pt>
                <c:pt idx="2">
                  <c:v>Midmarket-France-Carretera</c:v>
                </c:pt>
                <c:pt idx="3">
                  <c:v>Midmarket-Germany-Carretera</c:v>
                </c:pt>
                <c:pt idx="4">
                  <c:v>Midmarket-Mexico-Carretera</c:v>
                </c:pt>
                <c:pt idx="5">
                  <c:v>Government-Germany-Carretera</c:v>
                </c:pt>
                <c:pt idx="6">
                  <c:v>Midmarket-Germany-Montana</c:v>
                </c:pt>
                <c:pt idx="7">
                  <c:v>Channel Partners-Canada-Montana</c:v>
                </c:pt>
                <c:pt idx="8">
                  <c:v>Government-France-Montana</c:v>
                </c:pt>
                <c:pt idx="9">
                  <c:v>Channel Partners-Germany-Montana</c:v>
                </c:pt>
                <c:pt idx="10">
                  <c:v>Midmarket-Mexico-Montana</c:v>
                </c:pt>
                <c:pt idx="11">
                  <c:v>Enterprise-Canada-Montana</c:v>
                </c:pt>
                <c:pt idx="12">
                  <c:v>Small Business-Mexico-Montana</c:v>
                </c:pt>
                <c:pt idx="13">
                  <c:v>Government-Germany-Montana</c:v>
                </c:pt>
                <c:pt idx="14">
                  <c:v>Enterprise-Canada-Montana</c:v>
                </c:pt>
                <c:pt idx="15">
                  <c:v>Midmarket-United States of America-Montana</c:v>
                </c:pt>
                <c:pt idx="16">
                  <c:v>Government-Canada-Paseo</c:v>
                </c:pt>
                <c:pt idx="17">
                  <c:v>Midmarket-Mexico-Paseo</c:v>
                </c:pt>
                <c:pt idx="18">
                  <c:v>Channel Partners-Canada-Paseo</c:v>
                </c:pt>
                <c:pt idx="19">
                  <c:v>Government-Germany-Paseo</c:v>
                </c:pt>
                <c:pt idx="20">
                  <c:v>Channel Partners-Germany-Paseo</c:v>
                </c:pt>
                <c:pt idx="21">
                  <c:v>Government-Mexico-Paseo</c:v>
                </c:pt>
                <c:pt idx="22">
                  <c:v>Midmarket-France-Paseo</c:v>
                </c:pt>
                <c:pt idx="23">
                  <c:v>Small Business-Mexico-Paseo</c:v>
                </c:pt>
                <c:pt idx="24">
                  <c:v>Midmarket-Mexico-Paseo</c:v>
                </c:pt>
                <c:pt idx="25">
                  <c:v>Government-United States of America-Paseo</c:v>
                </c:pt>
                <c:pt idx="26">
                  <c:v>Government-Canada-Paseo</c:v>
                </c:pt>
                <c:pt idx="27">
                  <c:v>Channel Partners-United States of America-Paseo</c:v>
                </c:pt>
                <c:pt idx="28">
                  <c:v>Midmarket-Canada-Paseo</c:v>
                </c:pt>
                <c:pt idx="29">
                  <c:v>Government-Canada-Paseo</c:v>
                </c:pt>
                <c:pt idx="30">
                  <c:v>Government-Germany-Paseo</c:v>
                </c:pt>
                <c:pt idx="31">
                  <c:v>Government-Mexico-Velo</c:v>
                </c:pt>
                <c:pt idx="32">
                  <c:v>Enterprise-France-Velo</c:v>
                </c:pt>
                <c:pt idx="33">
                  <c:v>Channel Partners-Germany-Velo</c:v>
                </c:pt>
                <c:pt idx="34">
                  <c:v>Government-Germany-Velo</c:v>
                </c:pt>
                <c:pt idx="35">
                  <c:v>Channel Partners-Germany-Velo</c:v>
                </c:pt>
                <c:pt idx="36">
                  <c:v>Enterprise-United States of America-Velo</c:v>
                </c:pt>
                <c:pt idx="37">
                  <c:v>Enterprise-Canada-Velo</c:v>
                </c:pt>
                <c:pt idx="38">
                  <c:v>Small Business-Canada-VTT</c:v>
                </c:pt>
                <c:pt idx="39">
                  <c:v>Channel Partners-Germany-VTT</c:v>
                </c:pt>
                <c:pt idx="40">
                  <c:v>Midmarket-France-VTT</c:v>
                </c:pt>
                <c:pt idx="41">
                  <c:v>Midmarket-Germany-VTT</c:v>
                </c:pt>
                <c:pt idx="42">
                  <c:v>Government-France-VTT</c:v>
                </c:pt>
                <c:pt idx="43">
                  <c:v>Small Business-France-VTT</c:v>
                </c:pt>
                <c:pt idx="44">
                  <c:v>Government-Canada-VTT</c:v>
                </c:pt>
                <c:pt idx="45">
                  <c:v>Government-France-Amarilla</c:v>
                </c:pt>
                <c:pt idx="46">
                  <c:v>Channel Partners-United States of America-Amarilla</c:v>
                </c:pt>
                <c:pt idx="47">
                  <c:v>Enterprise-Germany-Amarilla</c:v>
                </c:pt>
                <c:pt idx="48">
                  <c:v>Government-France-Amarilla</c:v>
                </c:pt>
                <c:pt idx="49">
                  <c:v>Government-Germany-Amarilla</c:v>
                </c:pt>
                <c:pt idx="50">
                  <c:v>Channel Partners-United States of America-Amarilla</c:v>
                </c:pt>
                <c:pt idx="51">
                  <c:v>Government-United States of America-Amarilla</c:v>
                </c:pt>
                <c:pt idx="52">
                  <c:v>Midmarket-United States of America-Amarilla</c:v>
                </c:pt>
                <c:pt idx="53">
                  <c:v>Government-France-Paseo</c:v>
                </c:pt>
                <c:pt idx="54">
                  <c:v>Midmarket-France-Paseo</c:v>
                </c:pt>
                <c:pt idx="55">
                  <c:v>Government-France-Paseo</c:v>
                </c:pt>
                <c:pt idx="56">
                  <c:v>Government-France-Velo</c:v>
                </c:pt>
                <c:pt idx="57">
                  <c:v>Government-Canada-VTT</c:v>
                </c:pt>
                <c:pt idx="58">
                  <c:v>Channel Partners-United States of America-Carretera</c:v>
                </c:pt>
                <c:pt idx="59">
                  <c:v>Government-Mexico-Carretera</c:v>
                </c:pt>
                <c:pt idx="60">
                  <c:v>Government-United States of America-Carretera</c:v>
                </c:pt>
                <c:pt idx="61">
                  <c:v>Channel Partners-Canada-Carretera</c:v>
                </c:pt>
                <c:pt idx="62">
                  <c:v>Enterprise-United States of America-Carretera</c:v>
                </c:pt>
                <c:pt idx="63">
                  <c:v>Channel Partners-France-Carretera</c:v>
                </c:pt>
                <c:pt idx="64">
                  <c:v>Channel Partners-Germany-Carretera</c:v>
                </c:pt>
                <c:pt idx="65">
                  <c:v>Small Business-Mexico-Carretera</c:v>
                </c:pt>
                <c:pt idx="66">
                  <c:v>Government-Mexico-Carretera</c:v>
                </c:pt>
                <c:pt idx="67">
                  <c:v>Government-France-Carretera</c:v>
                </c:pt>
                <c:pt idx="68">
                  <c:v>Midmarket-Mexico-Montana</c:v>
                </c:pt>
                <c:pt idx="69">
                  <c:v>Small Business-United States of America-Montana</c:v>
                </c:pt>
                <c:pt idx="70">
                  <c:v>Government-France-Montana</c:v>
                </c:pt>
                <c:pt idx="71">
                  <c:v>Government-Canada-Montana</c:v>
                </c:pt>
                <c:pt idx="72">
                  <c:v>Small Business-United States of America-Montana</c:v>
                </c:pt>
                <c:pt idx="73">
                  <c:v>Enterprise-United States of America-Montana</c:v>
                </c:pt>
                <c:pt idx="74">
                  <c:v>Midmarket-United States of America-Paseo</c:v>
                </c:pt>
                <c:pt idx="75">
                  <c:v>Government-United States of America-Paseo</c:v>
                </c:pt>
                <c:pt idx="76">
                  <c:v>Enterprise-United States of America-Paseo</c:v>
                </c:pt>
                <c:pt idx="77">
                  <c:v>Enterprise-France-Paseo</c:v>
                </c:pt>
                <c:pt idx="78">
                  <c:v>Enterprise-Mexico-Paseo</c:v>
                </c:pt>
                <c:pt idx="79">
                  <c:v>Midmarket-Germany-Paseo</c:v>
                </c:pt>
                <c:pt idx="80">
                  <c:v>Channel Partners-Germany-Paseo</c:v>
                </c:pt>
                <c:pt idx="81">
                  <c:v>Small Business-United States of America-Paseo</c:v>
                </c:pt>
                <c:pt idx="82">
                  <c:v>Government-France-Paseo</c:v>
                </c:pt>
                <c:pt idx="83">
                  <c:v>Government-France-Velo</c:v>
                </c:pt>
                <c:pt idx="84">
                  <c:v>Government-Mexico-Velo</c:v>
                </c:pt>
                <c:pt idx="85">
                  <c:v>Enterprise-Canada-Velo</c:v>
                </c:pt>
                <c:pt idx="86">
                  <c:v>Enterprise-United States of America-Velo</c:v>
                </c:pt>
                <c:pt idx="87">
                  <c:v>Government-Canada-Velo</c:v>
                </c:pt>
                <c:pt idx="88">
                  <c:v>Government-Germany-VTT</c:v>
                </c:pt>
                <c:pt idx="89">
                  <c:v>Government-Canada-VTT</c:v>
                </c:pt>
                <c:pt idx="90">
                  <c:v>Enterprise-United States of America-VTT</c:v>
                </c:pt>
                <c:pt idx="91">
                  <c:v>Enterprise-France-VTT</c:v>
                </c:pt>
                <c:pt idx="92">
                  <c:v>Small Business-Germany-VTT</c:v>
                </c:pt>
                <c:pt idx="93">
                  <c:v>Small Business-Mexico-VTT</c:v>
                </c:pt>
                <c:pt idx="94">
                  <c:v>Government-Mexico-VTT</c:v>
                </c:pt>
                <c:pt idx="95">
                  <c:v>Enterprise-France-VTT</c:v>
                </c:pt>
                <c:pt idx="96">
                  <c:v>Channel Partners-United States of America-Amarilla</c:v>
                </c:pt>
                <c:pt idx="97">
                  <c:v>Midmarket-France-Amarilla</c:v>
                </c:pt>
                <c:pt idx="98">
                  <c:v>Enterprise-Canada-Carretera</c:v>
                </c:pt>
                <c:pt idx="99">
                  <c:v>Channel Partners-Canada-Carretera</c:v>
                </c:pt>
                <c:pt idx="100">
                  <c:v>Small Business-Germany-Carretera</c:v>
                </c:pt>
                <c:pt idx="101">
                  <c:v>Government-France-Carretera</c:v>
                </c:pt>
                <c:pt idx="102">
                  <c:v>Government-Canada-Carretera</c:v>
                </c:pt>
                <c:pt idx="103">
                  <c:v>Channel Partners-United States of America-Montana</c:v>
                </c:pt>
                <c:pt idx="104">
                  <c:v>Government-United States of America-Montana</c:v>
                </c:pt>
                <c:pt idx="105">
                  <c:v>Channel Partners-Mexico-Montana</c:v>
                </c:pt>
                <c:pt idx="106">
                  <c:v>Enterprise-Mexico-Montana</c:v>
                </c:pt>
                <c:pt idx="107">
                  <c:v>Midmarket-Canada-Paseo</c:v>
                </c:pt>
                <c:pt idx="108">
                  <c:v>Small Business-France-Paseo</c:v>
                </c:pt>
                <c:pt idx="109">
                  <c:v>Small Business-Germany-Paseo</c:v>
                </c:pt>
                <c:pt idx="110">
                  <c:v>Channel Partners-United States of America-Paseo</c:v>
                </c:pt>
                <c:pt idx="111">
                  <c:v>Enterprise-Mexico-Paseo</c:v>
                </c:pt>
                <c:pt idx="112">
                  <c:v>Channel Partners-Canada-Paseo</c:v>
                </c:pt>
                <c:pt idx="113">
                  <c:v>Enterprise-Germany-Paseo</c:v>
                </c:pt>
                <c:pt idx="114">
                  <c:v>Enterprise-Mexico-Paseo</c:v>
                </c:pt>
                <c:pt idx="115">
                  <c:v>Channel Partners-France-Paseo</c:v>
                </c:pt>
                <c:pt idx="116">
                  <c:v>Small Business-Canada-Paseo</c:v>
                </c:pt>
                <c:pt idx="117">
                  <c:v>Government-Canada-Paseo</c:v>
                </c:pt>
                <c:pt idx="118">
                  <c:v>Enterprise-Canada-Paseo</c:v>
                </c:pt>
                <c:pt idx="119">
                  <c:v>Midmarket-United States of America-Paseo</c:v>
                </c:pt>
                <c:pt idx="120">
                  <c:v>Government-United States of America-Paseo</c:v>
                </c:pt>
                <c:pt idx="121">
                  <c:v>Channel Partners-France-Paseo</c:v>
                </c:pt>
                <c:pt idx="122">
                  <c:v>Channel Partners-Mexico-Paseo</c:v>
                </c:pt>
                <c:pt idx="123">
                  <c:v>Government-United States of America-Velo</c:v>
                </c:pt>
                <c:pt idx="124">
                  <c:v>Government-Germany-Velo</c:v>
                </c:pt>
                <c:pt idx="125">
                  <c:v>Government-Germany-Velo</c:v>
                </c:pt>
                <c:pt idx="126">
                  <c:v>Enterprise-Germany-Velo</c:v>
                </c:pt>
                <c:pt idx="127">
                  <c:v>Enterprise-Mexico-Velo</c:v>
                </c:pt>
                <c:pt idx="128">
                  <c:v>Channel Partners-France-Velo</c:v>
                </c:pt>
                <c:pt idx="129">
                  <c:v>Government-Mexico-Velo</c:v>
                </c:pt>
                <c:pt idx="130">
                  <c:v>Channel Partners-Mexico-Velo</c:v>
                </c:pt>
                <c:pt idx="131">
                  <c:v>Enterprise-Mexico-VTT</c:v>
                </c:pt>
                <c:pt idx="132">
                  <c:v>Small Business-Germany-VTT</c:v>
                </c:pt>
                <c:pt idx="133">
                  <c:v>Government-Germany-VTT</c:v>
                </c:pt>
                <c:pt idx="134">
                  <c:v>Enterprise-Canada-VTT</c:v>
                </c:pt>
                <c:pt idx="135">
                  <c:v>Government-United States of America-VTT</c:v>
                </c:pt>
                <c:pt idx="136">
                  <c:v>Government-Mexico-VTT</c:v>
                </c:pt>
                <c:pt idx="137">
                  <c:v>Small Business-Germany-Amarilla</c:v>
                </c:pt>
                <c:pt idx="138">
                  <c:v>Small Business-Mexico-Amarilla</c:v>
                </c:pt>
                <c:pt idx="139">
                  <c:v>Enterprise-Germany-Amarilla</c:v>
                </c:pt>
                <c:pt idx="140">
                  <c:v>Government-Germany-Amarilla</c:v>
                </c:pt>
                <c:pt idx="141">
                  <c:v>Government-United States of America-Amarilla</c:v>
                </c:pt>
                <c:pt idx="142">
                  <c:v>Government-France-Amarilla</c:v>
                </c:pt>
                <c:pt idx="143">
                  <c:v>Small Business-Canada-Amarilla</c:v>
                </c:pt>
                <c:pt idx="144">
                  <c:v>Enterprise-France-Carretera</c:v>
                </c:pt>
                <c:pt idx="145">
                  <c:v>Government-Germany-Carretera</c:v>
                </c:pt>
                <c:pt idx="146">
                  <c:v>Small Business-Germany-Carretera</c:v>
                </c:pt>
                <c:pt idx="147">
                  <c:v>Channel Partners-United States of America-Carretera</c:v>
                </c:pt>
                <c:pt idx="148">
                  <c:v>Channel Partners-Canada-Carretera</c:v>
                </c:pt>
                <c:pt idx="149">
                  <c:v>Government-Germany-Montana</c:v>
                </c:pt>
                <c:pt idx="150">
                  <c:v>Channel Partners-France-Montana</c:v>
                </c:pt>
                <c:pt idx="151">
                  <c:v>Government-France-Montana</c:v>
                </c:pt>
                <c:pt idx="152">
                  <c:v>Government-Germany-Montana</c:v>
                </c:pt>
                <c:pt idx="153">
                  <c:v>Enterprise-France-Montana</c:v>
                </c:pt>
                <c:pt idx="154">
                  <c:v>Enterprise-Germany-Montana</c:v>
                </c:pt>
                <c:pt idx="155">
                  <c:v>Small Business-France-Paseo</c:v>
                </c:pt>
                <c:pt idx="156">
                  <c:v>Enterprise-Canada-Paseo</c:v>
                </c:pt>
                <c:pt idx="157">
                  <c:v>Channel Partners-France-Paseo</c:v>
                </c:pt>
                <c:pt idx="158">
                  <c:v>Small Business-Germany-Paseo</c:v>
                </c:pt>
                <c:pt idx="159">
                  <c:v>Enterprise-Germany-Paseo</c:v>
                </c:pt>
                <c:pt idx="160">
                  <c:v>Channel Partners-United States of America-Paseo</c:v>
                </c:pt>
                <c:pt idx="161">
                  <c:v>Enterprise-Canada-Paseo</c:v>
                </c:pt>
                <c:pt idx="162">
                  <c:v>Midmarket-Germany-Paseo</c:v>
                </c:pt>
                <c:pt idx="163">
                  <c:v>Enterprise-France-Paseo</c:v>
                </c:pt>
                <c:pt idx="164">
                  <c:v>Enterprise-Germany-Paseo</c:v>
                </c:pt>
                <c:pt idx="165">
                  <c:v>Enterprise-Canada-Velo</c:v>
                </c:pt>
                <c:pt idx="166">
                  <c:v>Small Business-United States of America-VTT</c:v>
                </c:pt>
                <c:pt idx="167">
                  <c:v>Channel Partners-Mexico-VTT</c:v>
                </c:pt>
                <c:pt idx="168">
                  <c:v>Enterprise-Germany-VTT</c:v>
                </c:pt>
                <c:pt idx="169">
                  <c:v>Small Business-Canada-VTT</c:v>
                </c:pt>
                <c:pt idx="170">
                  <c:v>Government-Mexico-VTT</c:v>
                </c:pt>
                <c:pt idx="171">
                  <c:v>Midmarket-Germany-VTT</c:v>
                </c:pt>
                <c:pt idx="172">
                  <c:v>Government-Canada-Carretera</c:v>
                </c:pt>
                <c:pt idx="173">
                  <c:v>Government-Mexico-Paseo</c:v>
                </c:pt>
                <c:pt idx="174">
                  <c:v>Government-Canada-Velo</c:v>
                </c:pt>
                <c:pt idx="175">
                  <c:v>Channel Partners-Germany-VTT</c:v>
                </c:pt>
                <c:pt idx="176">
                  <c:v>Midmarket-Mexico-Montana</c:v>
                </c:pt>
                <c:pt idx="177">
                  <c:v>Midmarket-Mexico-Paseo</c:v>
                </c:pt>
                <c:pt idx="178">
                  <c:v>Midmarket-France-Paseo</c:v>
                </c:pt>
                <c:pt idx="179">
                  <c:v>Government-United States of America-Velo</c:v>
                </c:pt>
                <c:pt idx="180">
                  <c:v>Government-Canada-Carretera</c:v>
                </c:pt>
                <c:pt idx="181">
                  <c:v>Small Business-Germany-Carretera</c:v>
                </c:pt>
                <c:pt idx="182">
                  <c:v>Government-United States of America-Carretera</c:v>
                </c:pt>
                <c:pt idx="183">
                  <c:v>Midmarket-Canada-Montana</c:v>
                </c:pt>
                <c:pt idx="184">
                  <c:v>Small Business-Germany-Montana</c:v>
                </c:pt>
                <c:pt idx="185">
                  <c:v>Government-Canada-Montana</c:v>
                </c:pt>
                <c:pt idx="186">
                  <c:v>Small Business-Germany-Montana</c:v>
                </c:pt>
                <c:pt idx="187">
                  <c:v>Enterprise-Mexico-Montana</c:v>
                </c:pt>
                <c:pt idx="188">
                  <c:v>Government-Canada-Paseo</c:v>
                </c:pt>
                <c:pt idx="189">
                  <c:v>Enterprise-Germany-Paseo</c:v>
                </c:pt>
                <c:pt idx="190">
                  <c:v>Small Business-Germany-Paseo</c:v>
                </c:pt>
                <c:pt idx="191">
                  <c:v>Small Business-United States of America-Paseo</c:v>
                </c:pt>
                <c:pt idx="192">
                  <c:v>Government-United States of America-Paseo</c:v>
                </c:pt>
                <c:pt idx="193">
                  <c:v>Enterprise-France-Paseo</c:v>
                </c:pt>
                <c:pt idx="194">
                  <c:v>Midmarket-Canada-Paseo</c:v>
                </c:pt>
                <c:pt idx="195">
                  <c:v>Government-Canada-Paseo</c:v>
                </c:pt>
                <c:pt idx="196">
                  <c:v>Government-United States of America-Paseo</c:v>
                </c:pt>
                <c:pt idx="197">
                  <c:v>Midmarket-United States of America-Paseo</c:v>
                </c:pt>
                <c:pt idx="198">
                  <c:v>Midmarket-Mexico-Paseo</c:v>
                </c:pt>
                <c:pt idx="199">
                  <c:v>Government-United States of America-Paseo</c:v>
                </c:pt>
                <c:pt idx="200">
                  <c:v>Enterprise-Mexico-Paseo</c:v>
                </c:pt>
                <c:pt idx="201">
                  <c:v>Channel Partners-United States of America-Velo</c:v>
                </c:pt>
                <c:pt idx="202">
                  <c:v>Government-Canada-Velo</c:v>
                </c:pt>
                <c:pt idx="203">
                  <c:v>Government-France-Velo</c:v>
                </c:pt>
                <c:pt idx="204">
                  <c:v>Channel Partners-France-VTT</c:v>
                </c:pt>
                <c:pt idx="205">
                  <c:v>Government-United States of America-VTT</c:v>
                </c:pt>
                <c:pt idx="206">
                  <c:v>Government-France-VTT</c:v>
                </c:pt>
                <c:pt idx="207">
                  <c:v>Midmarket-Mexico-VTT</c:v>
                </c:pt>
                <c:pt idx="208">
                  <c:v>Government-Mexico-Amarilla</c:v>
                </c:pt>
                <c:pt idx="209">
                  <c:v>Enterprise-Mexico-Amarilla</c:v>
                </c:pt>
                <c:pt idx="210">
                  <c:v>Government-Germany-Amarilla</c:v>
                </c:pt>
                <c:pt idx="211">
                  <c:v>Midmarket-United States of America-Amarilla</c:v>
                </c:pt>
                <c:pt idx="212">
                  <c:v>Government-Canada-Amarilla</c:v>
                </c:pt>
                <c:pt idx="213">
                  <c:v>Government-Germany-Montana</c:v>
                </c:pt>
                <c:pt idx="214">
                  <c:v>Government-Germany-Paseo</c:v>
                </c:pt>
                <c:pt idx="215">
                  <c:v>Government-Canada-Paseo</c:v>
                </c:pt>
                <c:pt idx="216">
                  <c:v>Government-Mexico-Paseo</c:v>
                </c:pt>
                <c:pt idx="217">
                  <c:v>Channel Partners-Canada-Paseo</c:v>
                </c:pt>
                <c:pt idx="218">
                  <c:v>Channel Partners-Canada-Velo</c:v>
                </c:pt>
                <c:pt idx="219">
                  <c:v>Government-Mexico-VTT</c:v>
                </c:pt>
                <c:pt idx="220">
                  <c:v>Government-Mexico-Amarilla</c:v>
                </c:pt>
                <c:pt idx="221">
                  <c:v>Channel Partners-Mexico-Amarilla</c:v>
                </c:pt>
                <c:pt idx="222">
                  <c:v>Government-Germany-Amarilla</c:v>
                </c:pt>
                <c:pt idx="223">
                  <c:v>Channel Partners-France-Carretera</c:v>
                </c:pt>
                <c:pt idx="224">
                  <c:v>Channel Partners-Germany-Carretera</c:v>
                </c:pt>
                <c:pt idx="225">
                  <c:v>Government-France-Carretera</c:v>
                </c:pt>
                <c:pt idx="226">
                  <c:v>Small Business-United States of America-Carretera</c:v>
                </c:pt>
                <c:pt idx="227">
                  <c:v>Government-Germany-Carretera</c:v>
                </c:pt>
                <c:pt idx="228">
                  <c:v>Midmarket-Mexico-Carretera</c:v>
                </c:pt>
                <c:pt idx="229">
                  <c:v>Government-United States of America-Carretera</c:v>
                </c:pt>
                <c:pt idx="230">
                  <c:v>Government-France-Carretera</c:v>
                </c:pt>
                <c:pt idx="231">
                  <c:v>Government-France-Montana</c:v>
                </c:pt>
                <c:pt idx="232">
                  <c:v>Enterprise-United States of America-Montana</c:v>
                </c:pt>
                <c:pt idx="233">
                  <c:v>Government-Mexico-Montana</c:v>
                </c:pt>
                <c:pt idx="234">
                  <c:v>Channel Partners-Germany-Montana</c:v>
                </c:pt>
                <c:pt idx="235">
                  <c:v>Small Business-Mexico-Montana</c:v>
                </c:pt>
                <c:pt idx="236">
                  <c:v>Government-France-Paseo</c:v>
                </c:pt>
                <c:pt idx="237">
                  <c:v>Enterprise-United States of America-Paseo</c:v>
                </c:pt>
                <c:pt idx="238">
                  <c:v>Enterprise-France-Paseo</c:v>
                </c:pt>
                <c:pt idx="239">
                  <c:v>Small Business-Mexico-Paseo</c:v>
                </c:pt>
                <c:pt idx="240">
                  <c:v>Government-United States of America-Paseo</c:v>
                </c:pt>
                <c:pt idx="241">
                  <c:v>Small Business-United States of America-Paseo</c:v>
                </c:pt>
                <c:pt idx="242">
                  <c:v>Government-United States of America-Paseo</c:v>
                </c:pt>
                <c:pt idx="243">
                  <c:v>Midmarket-France-Paseo</c:v>
                </c:pt>
                <c:pt idx="244">
                  <c:v>Government-Canada-Paseo</c:v>
                </c:pt>
                <c:pt idx="245">
                  <c:v>Government-Canada-Paseo</c:v>
                </c:pt>
                <c:pt idx="246">
                  <c:v>Enterprise-United States of America-Paseo</c:v>
                </c:pt>
                <c:pt idx="247">
                  <c:v>Enterprise-France-Paseo</c:v>
                </c:pt>
                <c:pt idx="248">
                  <c:v>Government-Canada-Paseo</c:v>
                </c:pt>
                <c:pt idx="249">
                  <c:v>Government-United States of America-Paseo</c:v>
                </c:pt>
                <c:pt idx="250">
                  <c:v>Government-France-Paseo</c:v>
                </c:pt>
                <c:pt idx="251">
                  <c:v>Midmarket-Germany-Paseo</c:v>
                </c:pt>
                <c:pt idx="252">
                  <c:v>Midmarket-United States of America-Velo</c:v>
                </c:pt>
                <c:pt idx="253">
                  <c:v>Midmarket-Mexico-Velo</c:v>
                </c:pt>
                <c:pt idx="254">
                  <c:v>Enterprise-Germany-Velo</c:v>
                </c:pt>
                <c:pt idx="255">
                  <c:v>Government-United States of America-Velo</c:v>
                </c:pt>
                <c:pt idx="256">
                  <c:v>Government-United States of America-Velo</c:v>
                </c:pt>
                <c:pt idx="257">
                  <c:v>Government-France-Velo</c:v>
                </c:pt>
                <c:pt idx="258">
                  <c:v>Enterprise-United States of America-Velo</c:v>
                </c:pt>
                <c:pt idx="259">
                  <c:v>Enterprise-France-Velo</c:v>
                </c:pt>
                <c:pt idx="260">
                  <c:v>Government-France-Velo</c:v>
                </c:pt>
                <c:pt idx="261">
                  <c:v>Small Business-Germany-Velo</c:v>
                </c:pt>
                <c:pt idx="262">
                  <c:v>Government-Canada-VTT</c:v>
                </c:pt>
                <c:pt idx="263">
                  <c:v>Government-United States of America-VTT</c:v>
                </c:pt>
                <c:pt idx="264">
                  <c:v>Government-Germany-VTT</c:v>
                </c:pt>
                <c:pt idx="265">
                  <c:v>Government-United States of America-VTT</c:v>
                </c:pt>
                <c:pt idx="266">
                  <c:v>Government-United States of America-VTT</c:v>
                </c:pt>
                <c:pt idx="267">
                  <c:v>Government-France-VTT</c:v>
                </c:pt>
                <c:pt idx="268">
                  <c:v>Government-Germany-Amarilla</c:v>
                </c:pt>
                <c:pt idx="269">
                  <c:v>Government-Canada-Amarilla</c:v>
                </c:pt>
                <c:pt idx="270">
                  <c:v>Government-Canada-Amarilla</c:v>
                </c:pt>
                <c:pt idx="271">
                  <c:v>Small Business-Germany-Amarilla</c:v>
                </c:pt>
                <c:pt idx="272">
                  <c:v>Midmarket-France-Paseo</c:v>
                </c:pt>
                <c:pt idx="273">
                  <c:v>Government-United States of America-Carretera</c:v>
                </c:pt>
                <c:pt idx="274">
                  <c:v>Midmarket-Canada-Carretera</c:v>
                </c:pt>
                <c:pt idx="275">
                  <c:v>Channel Partners-Mexico-Carretera</c:v>
                </c:pt>
                <c:pt idx="276">
                  <c:v>Channel Partners-Canada-Carretera</c:v>
                </c:pt>
                <c:pt idx="277">
                  <c:v>Midmarket-United States of America-Carretera</c:v>
                </c:pt>
                <c:pt idx="278">
                  <c:v>Government-United States of America-Carretera</c:v>
                </c:pt>
                <c:pt idx="279">
                  <c:v>Enterprise-Germany-Carretera</c:v>
                </c:pt>
                <c:pt idx="280">
                  <c:v>Government-Mexico-Montana</c:v>
                </c:pt>
                <c:pt idx="281">
                  <c:v>Government-Germany-Montana</c:v>
                </c:pt>
                <c:pt idx="282">
                  <c:v>Government-France-Montana</c:v>
                </c:pt>
                <c:pt idx="283">
                  <c:v>Channel Partners-United States of America-Montana</c:v>
                </c:pt>
                <c:pt idx="284">
                  <c:v>Government-France-Paseo</c:v>
                </c:pt>
                <c:pt idx="285">
                  <c:v>Channel Partners-Canada-Paseo</c:v>
                </c:pt>
                <c:pt idx="286">
                  <c:v>Government-United States of America-Paseo</c:v>
                </c:pt>
                <c:pt idx="287">
                  <c:v>Enterprise-Canada-Velo</c:v>
                </c:pt>
                <c:pt idx="288">
                  <c:v>Enterprise-United States of America-Velo</c:v>
                </c:pt>
                <c:pt idx="289">
                  <c:v>Midmarket-Germany-Velo</c:v>
                </c:pt>
                <c:pt idx="290">
                  <c:v>Government-France-Velo</c:v>
                </c:pt>
                <c:pt idx="291">
                  <c:v>Government-Mexico-Velo</c:v>
                </c:pt>
                <c:pt idx="292">
                  <c:v>Small Business-France-Velo</c:v>
                </c:pt>
                <c:pt idx="293">
                  <c:v>Government-France-Velo</c:v>
                </c:pt>
                <c:pt idx="294">
                  <c:v>Midmarket-Canada-VTT</c:v>
                </c:pt>
                <c:pt idx="295">
                  <c:v>Government-Mexico-VTT</c:v>
                </c:pt>
                <c:pt idx="296">
                  <c:v>Small Business-France-VTT</c:v>
                </c:pt>
                <c:pt idx="297">
                  <c:v>Government-Mexico-VTT</c:v>
                </c:pt>
                <c:pt idx="298">
                  <c:v>Small Business-Canada-VTT</c:v>
                </c:pt>
                <c:pt idx="299">
                  <c:v>Enterprise-France-Amarilla</c:v>
                </c:pt>
                <c:pt idx="300">
                  <c:v>Government-Mexico-Amarilla</c:v>
                </c:pt>
                <c:pt idx="301">
                  <c:v>Government-United States of America-Amarilla</c:v>
                </c:pt>
                <c:pt idx="302">
                  <c:v>Government-France-Amarilla</c:v>
                </c:pt>
                <c:pt idx="303">
                  <c:v>Government-France-Amarilla</c:v>
                </c:pt>
                <c:pt idx="304">
                  <c:v>Government-France-Montana</c:v>
                </c:pt>
                <c:pt idx="305">
                  <c:v>Midmarket-United States of America-Paseo</c:v>
                </c:pt>
                <c:pt idx="306">
                  <c:v>Midmarket-Germany-Paseo</c:v>
                </c:pt>
                <c:pt idx="307">
                  <c:v>Midmarket-United States of America-Paseo</c:v>
                </c:pt>
                <c:pt idx="308">
                  <c:v>Government-France-Paseo</c:v>
                </c:pt>
                <c:pt idx="309">
                  <c:v>Government-Germany-Velo</c:v>
                </c:pt>
                <c:pt idx="310">
                  <c:v>Government-Mexico-Velo</c:v>
                </c:pt>
                <c:pt idx="311">
                  <c:v>Midmarket-United States of America-VTT</c:v>
                </c:pt>
                <c:pt idx="312">
                  <c:v>Channel Partners-Mexico-Carretera</c:v>
                </c:pt>
                <c:pt idx="313">
                  <c:v>Channel Partners-Canada-Carretera</c:v>
                </c:pt>
                <c:pt idx="314">
                  <c:v>Government-Mexico-Carretera</c:v>
                </c:pt>
                <c:pt idx="315">
                  <c:v>Channel Partners-Mexico-Montana</c:v>
                </c:pt>
                <c:pt idx="316">
                  <c:v>Channel Partners-France-Montana</c:v>
                </c:pt>
                <c:pt idx="317">
                  <c:v>Government-France-Paseo</c:v>
                </c:pt>
                <c:pt idx="318">
                  <c:v>Midmarket-Canada-Velo</c:v>
                </c:pt>
                <c:pt idx="319">
                  <c:v>Government-Canada-Velo</c:v>
                </c:pt>
                <c:pt idx="320">
                  <c:v>Government-United States of America-Velo</c:v>
                </c:pt>
                <c:pt idx="321">
                  <c:v>Government-Canada-Velo</c:v>
                </c:pt>
                <c:pt idx="322">
                  <c:v>Channel Partners-France-VTT</c:v>
                </c:pt>
                <c:pt idx="323">
                  <c:v>Channel Partners-Germany-VTT</c:v>
                </c:pt>
                <c:pt idx="324">
                  <c:v>Government-Canada-VTT</c:v>
                </c:pt>
                <c:pt idx="325">
                  <c:v>Government-Canada-Amarilla</c:v>
                </c:pt>
                <c:pt idx="326">
                  <c:v>Government-United States of America-Carretera</c:v>
                </c:pt>
                <c:pt idx="327">
                  <c:v>Small Business-France-Carretera</c:v>
                </c:pt>
                <c:pt idx="328">
                  <c:v>Small Business-France-Carretera</c:v>
                </c:pt>
                <c:pt idx="329">
                  <c:v>Government-France-Montana</c:v>
                </c:pt>
                <c:pt idx="330">
                  <c:v>Small Business-France-Montana</c:v>
                </c:pt>
                <c:pt idx="331">
                  <c:v>Enterprise-Germany-Montana</c:v>
                </c:pt>
                <c:pt idx="332">
                  <c:v>Small Business-Canada-Paseo</c:v>
                </c:pt>
                <c:pt idx="333">
                  <c:v>Small Business-France-Paseo</c:v>
                </c:pt>
                <c:pt idx="334">
                  <c:v>Enterprise-Germany-Paseo</c:v>
                </c:pt>
                <c:pt idx="335">
                  <c:v>Midmarket-France-Paseo</c:v>
                </c:pt>
                <c:pt idx="336">
                  <c:v>Midmarket-United States of America-Paseo</c:v>
                </c:pt>
                <c:pt idx="337">
                  <c:v>Government-France-Paseo</c:v>
                </c:pt>
                <c:pt idx="338">
                  <c:v>Small Business-Germany-Paseo</c:v>
                </c:pt>
                <c:pt idx="339">
                  <c:v>Small Business-Canada-Paseo</c:v>
                </c:pt>
                <c:pt idx="340">
                  <c:v>Channel Partners-Mexico-Paseo</c:v>
                </c:pt>
                <c:pt idx="341">
                  <c:v>Government-Germany-Paseo</c:v>
                </c:pt>
                <c:pt idx="342">
                  <c:v>Small Business-France-Velo</c:v>
                </c:pt>
                <c:pt idx="343">
                  <c:v>Government-Mexico-Velo</c:v>
                </c:pt>
                <c:pt idx="344">
                  <c:v>Enterprise-Germany-Velo</c:v>
                </c:pt>
                <c:pt idx="345">
                  <c:v>Government-France-Velo</c:v>
                </c:pt>
                <c:pt idx="346">
                  <c:v>Government-United States of America-Velo</c:v>
                </c:pt>
                <c:pt idx="347">
                  <c:v>Small Business-United States of America-Velo</c:v>
                </c:pt>
                <c:pt idx="348">
                  <c:v>Government-Germany-Velo</c:v>
                </c:pt>
                <c:pt idx="349">
                  <c:v>Channel Partners-Canada-VTT</c:v>
                </c:pt>
                <c:pt idx="350">
                  <c:v>Small Business-France-VTT</c:v>
                </c:pt>
                <c:pt idx="351">
                  <c:v>Small Business-Mexico-VTT</c:v>
                </c:pt>
                <c:pt idx="352">
                  <c:v>Enterprise-Canada-Amarilla</c:v>
                </c:pt>
                <c:pt idx="353">
                  <c:v>Government-France-Amarilla</c:v>
                </c:pt>
                <c:pt idx="354">
                  <c:v>Enterprise-Germany-Amarilla</c:v>
                </c:pt>
                <c:pt idx="355">
                  <c:v>Government-Canada-Amarilla</c:v>
                </c:pt>
                <c:pt idx="356">
                  <c:v>Small Business-United States of America-Amarilla</c:v>
                </c:pt>
                <c:pt idx="357">
                  <c:v>Government-Canada-Montana</c:v>
                </c:pt>
                <c:pt idx="358">
                  <c:v>Government-United States of America-Montana</c:v>
                </c:pt>
                <c:pt idx="359">
                  <c:v>Government-Canada-Paseo</c:v>
                </c:pt>
                <c:pt idx="360">
                  <c:v>Government-United States of America-Amarilla</c:v>
                </c:pt>
                <c:pt idx="361">
                  <c:v>Enterprise-Mexico-Carretera</c:v>
                </c:pt>
                <c:pt idx="362">
                  <c:v>Midmarket-France-Carretera</c:v>
                </c:pt>
                <c:pt idx="363">
                  <c:v>Government-Mexico-Carretera</c:v>
                </c:pt>
                <c:pt idx="364">
                  <c:v>Midmarket-France-Montana</c:v>
                </c:pt>
                <c:pt idx="365">
                  <c:v>Government-Canada-Montana</c:v>
                </c:pt>
                <c:pt idx="366">
                  <c:v>Government-Germany-Montana</c:v>
                </c:pt>
                <c:pt idx="367">
                  <c:v>Small Business-France-Montana</c:v>
                </c:pt>
                <c:pt idx="368">
                  <c:v>Small Business-Canada-Montana</c:v>
                </c:pt>
                <c:pt idx="369">
                  <c:v>Midmarket-Germany-Montana</c:v>
                </c:pt>
                <c:pt idx="370">
                  <c:v>Enterprise-Mexico-Paseo</c:v>
                </c:pt>
                <c:pt idx="371">
                  <c:v>Government-Germany-Paseo</c:v>
                </c:pt>
                <c:pt idx="372">
                  <c:v>Government-Germany-Paseo</c:v>
                </c:pt>
                <c:pt idx="373">
                  <c:v>Government-Germany-Paseo</c:v>
                </c:pt>
                <c:pt idx="374">
                  <c:v>Small Business-Mexico-Paseo</c:v>
                </c:pt>
                <c:pt idx="375">
                  <c:v>Government-United States of America-Paseo</c:v>
                </c:pt>
                <c:pt idx="376">
                  <c:v>Government-Germany-Paseo</c:v>
                </c:pt>
                <c:pt idx="377">
                  <c:v>Government-Germany-Paseo</c:v>
                </c:pt>
                <c:pt idx="378">
                  <c:v>Government-Germany-Paseo</c:v>
                </c:pt>
                <c:pt idx="379">
                  <c:v>Government-Mexico-Paseo</c:v>
                </c:pt>
                <c:pt idx="380">
                  <c:v>Government-Germany-Paseo</c:v>
                </c:pt>
                <c:pt idx="381">
                  <c:v>Government-Mexico-Paseo</c:v>
                </c:pt>
                <c:pt idx="382">
                  <c:v>Government-Mexico-Paseo</c:v>
                </c:pt>
                <c:pt idx="383">
                  <c:v>Channel Partners-Canada-Velo</c:v>
                </c:pt>
                <c:pt idx="384">
                  <c:v>Government-United States of America-Velo</c:v>
                </c:pt>
                <c:pt idx="385">
                  <c:v>Government-Germany-Velo</c:v>
                </c:pt>
                <c:pt idx="386">
                  <c:v>Small Business-France-Velo</c:v>
                </c:pt>
                <c:pt idx="387">
                  <c:v>Small Business-Mexico-Velo</c:v>
                </c:pt>
                <c:pt idx="388">
                  <c:v>Government-France-VTT</c:v>
                </c:pt>
                <c:pt idx="389">
                  <c:v>Government-Germany-VTT</c:v>
                </c:pt>
                <c:pt idx="390">
                  <c:v>Government-France-VTT</c:v>
                </c:pt>
                <c:pt idx="391">
                  <c:v>Government-Germany-VTT</c:v>
                </c:pt>
                <c:pt idx="392">
                  <c:v>Small Business-Canada-VTT</c:v>
                </c:pt>
                <c:pt idx="393">
                  <c:v>Small Business-United States of America-VTT</c:v>
                </c:pt>
                <c:pt idx="394">
                  <c:v>Government-Canada-Amarilla</c:v>
                </c:pt>
                <c:pt idx="395">
                  <c:v>Government-United States of America-Amarilla</c:v>
                </c:pt>
                <c:pt idx="396">
                  <c:v>Government-Germany-Amarilla</c:v>
                </c:pt>
                <c:pt idx="397">
                  <c:v>Small Business-Mexico-Amarilla</c:v>
                </c:pt>
                <c:pt idx="398">
                  <c:v>Government-Germany-Amarilla</c:v>
                </c:pt>
                <c:pt idx="399">
                  <c:v>Midmarket-Germany-Amarilla</c:v>
                </c:pt>
                <c:pt idx="400">
                  <c:v>Channel Partners-Mexico-Amarilla</c:v>
                </c:pt>
                <c:pt idx="401">
                  <c:v>Small Business-Mexico-Amarilla</c:v>
                </c:pt>
                <c:pt idx="402">
                  <c:v>Government-United States of America-VTT</c:v>
                </c:pt>
                <c:pt idx="403">
                  <c:v>Small Business-Canada-Carretera</c:v>
                </c:pt>
                <c:pt idx="404">
                  <c:v>Channel Partners-Mexico-Carretera</c:v>
                </c:pt>
                <c:pt idx="405">
                  <c:v>Small Business-Canada-Montana</c:v>
                </c:pt>
                <c:pt idx="406">
                  <c:v>Government-France-Montana</c:v>
                </c:pt>
                <c:pt idx="407">
                  <c:v>Small Business-France-Montana</c:v>
                </c:pt>
                <c:pt idx="408">
                  <c:v>Channel Partners-Canada-Montana</c:v>
                </c:pt>
                <c:pt idx="409">
                  <c:v>Enterprise-France-Montana</c:v>
                </c:pt>
                <c:pt idx="410">
                  <c:v>Government-Canada-Montana</c:v>
                </c:pt>
                <c:pt idx="411">
                  <c:v>Enterprise-United States of America-Montana</c:v>
                </c:pt>
                <c:pt idx="412">
                  <c:v>Small Business-Germany-Montana</c:v>
                </c:pt>
                <c:pt idx="413">
                  <c:v>Small Business-Mexico-Paseo</c:v>
                </c:pt>
                <c:pt idx="414">
                  <c:v>Government-Mexico-Paseo</c:v>
                </c:pt>
                <c:pt idx="415">
                  <c:v>Midmarket-United States of America-Paseo</c:v>
                </c:pt>
                <c:pt idx="416">
                  <c:v>Small Business-Canada-Paseo</c:v>
                </c:pt>
                <c:pt idx="417">
                  <c:v>Midmarket-France-Paseo</c:v>
                </c:pt>
                <c:pt idx="418">
                  <c:v>Channel Partners-Mexico-Paseo</c:v>
                </c:pt>
                <c:pt idx="419">
                  <c:v>Small Business-France-Paseo</c:v>
                </c:pt>
                <c:pt idx="420">
                  <c:v>Channel Partners-Germany-Paseo</c:v>
                </c:pt>
                <c:pt idx="421">
                  <c:v>Enterprise-United States of America-Paseo</c:v>
                </c:pt>
                <c:pt idx="422">
                  <c:v>Midmarket-Mexico-Velo</c:v>
                </c:pt>
                <c:pt idx="423">
                  <c:v>Small Business-Canada-Velo</c:v>
                </c:pt>
                <c:pt idx="424">
                  <c:v>Government-Germany-Velo</c:v>
                </c:pt>
                <c:pt idx="425">
                  <c:v>Enterprise-Canada-Velo</c:v>
                </c:pt>
                <c:pt idx="426">
                  <c:v>Enterprise-Mexico-Velo</c:v>
                </c:pt>
                <c:pt idx="427">
                  <c:v>Government-Canada-Velo</c:v>
                </c:pt>
                <c:pt idx="428">
                  <c:v>Channel Partners-United States of America-VTT</c:v>
                </c:pt>
                <c:pt idx="429">
                  <c:v>Small Business-Germany-VTT</c:v>
                </c:pt>
                <c:pt idx="430">
                  <c:v>Government-United States of America-VTT</c:v>
                </c:pt>
                <c:pt idx="431">
                  <c:v>Channel Partners-Germany-VTT</c:v>
                </c:pt>
                <c:pt idx="432">
                  <c:v>Small Business-United States of America-VTT</c:v>
                </c:pt>
                <c:pt idx="433">
                  <c:v>Channel Partners-France-VTT</c:v>
                </c:pt>
                <c:pt idx="434">
                  <c:v>Midmarket-France-VTT</c:v>
                </c:pt>
                <c:pt idx="435">
                  <c:v>Enterprise-Mexico-VTT</c:v>
                </c:pt>
                <c:pt idx="436">
                  <c:v>Government-United States of America-Amarilla</c:v>
                </c:pt>
                <c:pt idx="437">
                  <c:v>Government-Canada-Amarilla</c:v>
                </c:pt>
                <c:pt idx="438">
                  <c:v>Midmarket-Germany-Amarilla</c:v>
                </c:pt>
                <c:pt idx="439">
                  <c:v>Government-Mexico-Amarilla</c:v>
                </c:pt>
                <c:pt idx="440">
                  <c:v>Government-Germany-Carretera</c:v>
                </c:pt>
                <c:pt idx="441">
                  <c:v>Government-Canada-Carretera</c:v>
                </c:pt>
                <c:pt idx="442">
                  <c:v>Channel Partners-Germany-Carretera</c:v>
                </c:pt>
                <c:pt idx="443">
                  <c:v>Government-Mexico-Carretera</c:v>
                </c:pt>
                <c:pt idx="444">
                  <c:v>Government-United States of America-Paseo</c:v>
                </c:pt>
                <c:pt idx="445">
                  <c:v>Government-Mexico-Paseo</c:v>
                </c:pt>
                <c:pt idx="446">
                  <c:v>Government-Germany-Paseo</c:v>
                </c:pt>
                <c:pt idx="447">
                  <c:v>Channel Partners-France-Velo</c:v>
                </c:pt>
                <c:pt idx="448">
                  <c:v>Midmarket-Mexico-Velo</c:v>
                </c:pt>
                <c:pt idx="449">
                  <c:v>Government-Germany-VTT</c:v>
                </c:pt>
                <c:pt idx="450">
                  <c:v>Government-France-VTT</c:v>
                </c:pt>
                <c:pt idx="451">
                  <c:v>Government-Mexico-VTT</c:v>
                </c:pt>
                <c:pt idx="452">
                  <c:v>Government-Mexico-Amarilla</c:v>
                </c:pt>
                <c:pt idx="453">
                  <c:v>Midmarket-Canada-Amarilla</c:v>
                </c:pt>
                <c:pt idx="454">
                  <c:v>Channel Partners-France-Amarilla</c:v>
                </c:pt>
                <c:pt idx="455">
                  <c:v>Channel Partners-United States of America-Carretera</c:v>
                </c:pt>
                <c:pt idx="456">
                  <c:v>Government-United States of America-Montana</c:v>
                </c:pt>
                <c:pt idx="457">
                  <c:v>Channel Partners-United States of America-Paseo</c:v>
                </c:pt>
                <c:pt idx="458">
                  <c:v>Enterprise-United States of America-Carretera</c:v>
                </c:pt>
                <c:pt idx="459">
                  <c:v>Enterprise-France-Carretera</c:v>
                </c:pt>
                <c:pt idx="460">
                  <c:v>Government-United States of America-Montana</c:v>
                </c:pt>
                <c:pt idx="461">
                  <c:v>Enterprise-United States of America-Montana</c:v>
                </c:pt>
                <c:pt idx="462">
                  <c:v>Midmarket-France-Montana</c:v>
                </c:pt>
                <c:pt idx="463">
                  <c:v>Government-France-Paseo</c:v>
                </c:pt>
                <c:pt idx="464">
                  <c:v>Small Business-Mexico-Paseo</c:v>
                </c:pt>
                <c:pt idx="465">
                  <c:v>Midmarket-France-Paseo</c:v>
                </c:pt>
                <c:pt idx="466">
                  <c:v>Government-Germany-Paseo</c:v>
                </c:pt>
                <c:pt idx="467">
                  <c:v>Midmarket-Germany-Velo</c:v>
                </c:pt>
                <c:pt idx="468">
                  <c:v>Midmarket-Germany-Velo</c:v>
                </c:pt>
                <c:pt idx="469">
                  <c:v>Midmarket-United States of America-Velo</c:v>
                </c:pt>
                <c:pt idx="470">
                  <c:v>Government-France-Velo</c:v>
                </c:pt>
                <c:pt idx="471">
                  <c:v>Enterprise-United States of America-Velo</c:v>
                </c:pt>
                <c:pt idx="472">
                  <c:v>Small Business-United States of America-Velo</c:v>
                </c:pt>
                <c:pt idx="473">
                  <c:v>Government-Germany-Velo</c:v>
                </c:pt>
                <c:pt idx="474">
                  <c:v>Government-Germany-Velo</c:v>
                </c:pt>
                <c:pt idx="475">
                  <c:v>Enterprise-Canada-Velo</c:v>
                </c:pt>
                <c:pt idx="476">
                  <c:v>Small Business-France-Velo</c:v>
                </c:pt>
                <c:pt idx="477">
                  <c:v>Enterprise-Mexico-VTT</c:v>
                </c:pt>
                <c:pt idx="478">
                  <c:v>Midmarket-Mexico-VTT</c:v>
                </c:pt>
                <c:pt idx="479">
                  <c:v>Government-United States of America-VTT</c:v>
                </c:pt>
                <c:pt idx="480">
                  <c:v>Small Business-Mexico-VTT</c:v>
                </c:pt>
                <c:pt idx="481">
                  <c:v>Small Business-United States of America-VTT</c:v>
                </c:pt>
                <c:pt idx="482">
                  <c:v>Midmarket-France-VTT</c:v>
                </c:pt>
                <c:pt idx="483">
                  <c:v>Enterprise-Canada-VTT</c:v>
                </c:pt>
                <c:pt idx="484">
                  <c:v>Government-Germany-VTT</c:v>
                </c:pt>
                <c:pt idx="485">
                  <c:v>Enterprise-United States of America-Amarilla</c:v>
                </c:pt>
                <c:pt idx="486">
                  <c:v>Government-Canada-Amarilla</c:v>
                </c:pt>
                <c:pt idx="487">
                  <c:v>Small Business-United States of America-Amarilla</c:v>
                </c:pt>
                <c:pt idx="488">
                  <c:v>Channel Partners-Canada-Amarilla</c:v>
                </c:pt>
                <c:pt idx="489">
                  <c:v>Government-Mexico-Amarilla</c:v>
                </c:pt>
                <c:pt idx="490">
                  <c:v>Channel Partners-Germany-Amarilla</c:v>
                </c:pt>
                <c:pt idx="491">
                  <c:v>Government-Canada-Amarilla</c:v>
                </c:pt>
                <c:pt idx="492">
                  <c:v>Midmarket-France-Amarilla</c:v>
                </c:pt>
                <c:pt idx="493">
                  <c:v>Small Business-France-Amarilla</c:v>
                </c:pt>
                <c:pt idx="494">
                  <c:v>Channel Partners-France-Carretera</c:v>
                </c:pt>
                <c:pt idx="495">
                  <c:v>Government-France-Paseo</c:v>
                </c:pt>
                <c:pt idx="496">
                  <c:v>Channel Partners-France-Paseo</c:v>
                </c:pt>
                <c:pt idx="497">
                  <c:v>Midmarket-Canada-Velo</c:v>
                </c:pt>
                <c:pt idx="498">
                  <c:v>Channel Partners-Germany-Velo</c:v>
                </c:pt>
                <c:pt idx="499">
                  <c:v>Government-United States of America-VTT</c:v>
                </c:pt>
                <c:pt idx="500">
                  <c:v>Channel Partners-Mexico-VTT</c:v>
                </c:pt>
                <c:pt idx="501">
                  <c:v>Midmarket-United States of America-Amarilla</c:v>
                </c:pt>
                <c:pt idx="502">
                  <c:v>Channel Partners-Germany-Amarilla</c:v>
                </c:pt>
                <c:pt idx="503">
                  <c:v>Channel Partners-Canada-Carretera</c:v>
                </c:pt>
                <c:pt idx="504">
                  <c:v>Government-Germany-Carretera</c:v>
                </c:pt>
                <c:pt idx="505">
                  <c:v>Small Business-Germany-Carretera</c:v>
                </c:pt>
                <c:pt idx="506">
                  <c:v>Enterprise-France-Carretera</c:v>
                </c:pt>
                <c:pt idx="507">
                  <c:v>Midmarket-Canada-Carretera</c:v>
                </c:pt>
                <c:pt idx="508">
                  <c:v>Government-Mexico-Carretera</c:v>
                </c:pt>
                <c:pt idx="509">
                  <c:v>Government-Germany-Montana</c:v>
                </c:pt>
                <c:pt idx="510">
                  <c:v>Government-Germany-Montana</c:v>
                </c:pt>
                <c:pt idx="511">
                  <c:v>Midmarket-Mexico-Montana</c:v>
                </c:pt>
                <c:pt idx="512">
                  <c:v>Small Business-Canada-Paseo</c:v>
                </c:pt>
                <c:pt idx="513">
                  <c:v>Government-Mexico-Paseo</c:v>
                </c:pt>
                <c:pt idx="514">
                  <c:v>Government-Canada-Paseo</c:v>
                </c:pt>
                <c:pt idx="515">
                  <c:v>Channel Partners-Canada-Paseo</c:v>
                </c:pt>
                <c:pt idx="516">
                  <c:v>Channel Partners-France-Paseo</c:v>
                </c:pt>
                <c:pt idx="517">
                  <c:v>Government-Canada-Paseo</c:v>
                </c:pt>
                <c:pt idx="518">
                  <c:v>Midmarket-Mexico-Paseo</c:v>
                </c:pt>
                <c:pt idx="519">
                  <c:v>Enterprise-France-Paseo</c:v>
                </c:pt>
                <c:pt idx="520">
                  <c:v>Government-Germany-Paseo</c:v>
                </c:pt>
                <c:pt idx="521">
                  <c:v>Small Business-Canada-Paseo</c:v>
                </c:pt>
                <c:pt idx="522">
                  <c:v>Government-France-Velo</c:v>
                </c:pt>
                <c:pt idx="523">
                  <c:v>Midmarket-Mexico-Velo</c:v>
                </c:pt>
                <c:pt idx="524">
                  <c:v>Government-Mexico-Velo</c:v>
                </c:pt>
                <c:pt idx="525">
                  <c:v>Government-Canada-Velo</c:v>
                </c:pt>
                <c:pt idx="526">
                  <c:v>Channel Partners-France-VTT</c:v>
                </c:pt>
                <c:pt idx="527">
                  <c:v>Enterprise-Mexico-VTT</c:v>
                </c:pt>
                <c:pt idx="528">
                  <c:v>Government-Canada-VTT</c:v>
                </c:pt>
                <c:pt idx="529">
                  <c:v>Enterprise-Germany-Amarilla</c:v>
                </c:pt>
                <c:pt idx="530">
                  <c:v>Government-Mexico-Amarilla</c:v>
                </c:pt>
                <c:pt idx="531">
                  <c:v>Enterprise-France-Amarilla</c:v>
                </c:pt>
                <c:pt idx="532">
                  <c:v>Enterprise-Mexico-Amarilla</c:v>
                </c:pt>
                <c:pt idx="533">
                  <c:v>Government-Mexico-Amarilla</c:v>
                </c:pt>
                <c:pt idx="534">
                  <c:v>Midmarket-Mexico-Amarilla</c:v>
                </c:pt>
                <c:pt idx="535">
                  <c:v>Government-United States of America-Paseo</c:v>
                </c:pt>
                <c:pt idx="536">
                  <c:v>Government-Mexico-Carretera</c:v>
                </c:pt>
                <c:pt idx="537">
                  <c:v>Enterprise-Canada-Carretera</c:v>
                </c:pt>
                <c:pt idx="538">
                  <c:v>Enterprise-Mexico-Carretera</c:v>
                </c:pt>
                <c:pt idx="539">
                  <c:v>Midmarket-Canada-Carretera</c:v>
                </c:pt>
                <c:pt idx="540">
                  <c:v>Midmarket-United States of America-Montana</c:v>
                </c:pt>
                <c:pt idx="541">
                  <c:v>Small Business-France-Montana</c:v>
                </c:pt>
                <c:pt idx="542">
                  <c:v>Government-Mexico-Montana</c:v>
                </c:pt>
                <c:pt idx="543">
                  <c:v>Government-Canada-Montana</c:v>
                </c:pt>
                <c:pt idx="544">
                  <c:v>Government-Mexico-Montana</c:v>
                </c:pt>
                <c:pt idx="545">
                  <c:v>Small Business-France-Montana</c:v>
                </c:pt>
                <c:pt idx="546">
                  <c:v>Small Business-United States of America-Paseo</c:v>
                </c:pt>
                <c:pt idx="547">
                  <c:v>Government-Mexico-Paseo</c:v>
                </c:pt>
                <c:pt idx="548">
                  <c:v>Enterprise-Mexico-Paseo</c:v>
                </c:pt>
                <c:pt idx="549">
                  <c:v>Government-Mexico-Paseo</c:v>
                </c:pt>
                <c:pt idx="550">
                  <c:v>Government-Mexico-Paseo</c:v>
                </c:pt>
                <c:pt idx="551">
                  <c:v>Government-France-Paseo</c:v>
                </c:pt>
                <c:pt idx="552">
                  <c:v>Small Business-Germany-Paseo</c:v>
                </c:pt>
                <c:pt idx="553">
                  <c:v>Small Business-Mexico-Paseo</c:v>
                </c:pt>
                <c:pt idx="554">
                  <c:v>Government-Mexico-Paseo</c:v>
                </c:pt>
                <c:pt idx="555">
                  <c:v>Midmarket-Mexico-Paseo</c:v>
                </c:pt>
                <c:pt idx="556">
                  <c:v>Government-Mexico-Paseo</c:v>
                </c:pt>
                <c:pt idx="557">
                  <c:v>Government-Mexico-Velo</c:v>
                </c:pt>
                <c:pt idx="558">
                  <c:v>Government-United States of America-Velo</c:v>
                </c:pt>
                <c:pt idx="559">
                  <c:v>Government-Mexico-Velo</c:v>
                </c:pt>
                <c:pt idx="560">
                  <c:v>Channel Partners-Canada-VTT</c:v>
                </c:pt>
                <c:pt idx="561">
                  <c:v>Midmarket-France-VTT</c:v>
                </c:pt>
                <c:pt idx="562">
                  <c:v>Government-Canada-VTT</c:v>
                </c:pt>
                <c:pt idx="563">
                  <c:v>Government-United States of America-VTT</c:v>
                </c:pt>
                <c:pt idx="564">
                  <c:v>Enterprise-United States of America-VTT</c:v>
                </c:pt>
                <c:pt idx="565">
                  <c:v>Government-Mexico-VTT</c:v>
                </c:pt>
                <c:pt idx="566">
                  <c:v>Government-United States of America-Amarilla</c:v>
                </c:pt>
                <c:pt idx="567">
                  <c:v>Government-France-Amarilla</c:v>
                </c:pt>
                <c:pt idx="568">
                  <c:v>Government-Canada-Amarilla</c:v>
                </c:pt>
                <c:pt idx="569">
                  <c:v>Midmarket-United States of America-Amarilla</c:v>
                </c:pt>
                <c:pt idx="570">
                  <c:v>Government-France-Carretera</c:v>
                </c:pt>
                <c:pt idx="571">
                  <c:v>Channel Partners-Mexico-Montana</c:v>
                </c:pt>
                <c:pt idx="572">
                  <c:v>Government-Germany-Paseo</c:v>
                </c:pt>
                <c:pt idx="573">
                  <c:v>Government-France-VTT</c:v>
                </c:pt>
                <c:pt idx="574">
                  <c:v>Government-Germany-VTT</c:v>
                </c:pt>
                <c:pt idx="575">
                  <c:v>Channel Partners-Canada-Amarilla</c:v>
                </c:pt>
                <c:pt idx="576">
                  <c:v>Midmarket-United States of America-Carretera</c:v>
                </c:pt>
                <c:pt idx="577">
                  <c:v>Midmarket-United States of America-VTT</c:v>
                </c:pt>
                <c:pt idx="578">
                  <c:v>Government-Canada-Carretera</c:v>
                </c:pt>
                <c:pt idx="579">
                  <c:v>Government-France-Carretera</c:v>
                </c:pt>
                <c:pt idx="580">
                  <c:v>Government-Germany-Carretera</c:v>
                </c:pt>
                <c:pt idx="581">
                  <c:v>Government-United States of America-Montana</c:v>
                </c:pt>
                <c:pt idx="582">
                  <c:v>Government-United States of America-Montana</c:v>
                </c:pt>
                <c:pt idx="583">
                  <c:v>Channel Partners-Mexico-Montana</c:v>
                </c:pt>
                <c:pt idx="584">
                  <c:v>Government-Mexico-Montana</c:v>
                </c:pt>
                <c:pt idx="585">
                  <c:v>Government-Canada-Montana</c:v>
                </c:pt>
                <c:pt idx="586">
                  <c:v>Government-United States of America-Paseo</c:v>
                </c:pt>
                <c:pt idx="587">
                  <c:v>Small Business-Germany-Paseo</c:v>
                </c:pt>
                <c:pt idx="588">
                  <c:v>Government-United States of America-Paseo</c:v>
                </c:pt>
                <c:pt idx="589">
                  <c:v>Government-Germany-Paseo</c:v>
                </c:pt>
                <c:pt idx="590">
                  <c:v>Government-Canada-Paseo</c:v>
                </c:pt>
                <c:pt idx="591">
                  <c:v>Enterprise-Canada-Paseo</c:v>
                </c:pt>
                <c:pt idx="592">
                  <c:v>Channel Partners-Mexico-Paseo</c:v>
                </c:pt>
                <c:pt idx="593">
                  <c:v>Government-France-Paseo</c:v>
                </c:pt>
                <c:pt idx="594">
                  <c:v>Midmarket-Canada-Paseo</c:v>
                </c:pt>
                <c:pt idx="595">
                  <c:v>Government-Canada-Paseo</c:v>
                </c:pt>
                <c:pt idx="596">
                  <c:v>Government-Germany-Paseo</c:v>
                </c:pt>
                <c:pt idx="597">
                  <c:v>Channel Partners-Germany-Paseo</c:v>
                </c:pt>
                <c:pt idx="598">
                  <c:v>Midmarket-France-Velo</c:v>
                </c:pt>
                <c:pt idx="599">
                  <c:v>Government-Canada-Velo</c:v>
                </c:pt>
                <c:pt idx="600">
                  <c:v>Government-France-Velo</c:v>
                </c:pt>
                <c:pt idx="601">
                  <c:v>Channel Partners-Mexico-Velo</c:v>
                </c:pt>
                <c:pt idx="602">
                  <c:v>Midmarket-Germany-Velo</c:v>
                </c:pt>
                <c:pt idx="603">
                  <c:v>Channel Partners-Mexico-Velo</c:v>
                </c:pt>
                <c:pt idx="604">
                  <c:v>Small Business-Mexico-Velo</c:v>
                </c:pt>
                <c:pt idx="605">
                  <c:v>Channel Partners-Germany-Velo</c:v>
                </c:pt>
                <c:pt idx="606">
                  <c:v>Enterprise-Canada-VTT</c:v>
                </c:pt>
                <c:pt idx="607">
                  <c:v>Midmarket-Canada-VTT</c:v>
                </c:pt>
                <c:pt idx="608">
                  <c:v>Enterprise-Canada-Amarilla</c:v>
                </c:pt>
                <c:pt idx="609">
                  <c:v>Government-France-Amarilla</c:v>
                </c:pt>
                <c:pt idx="610">
                  <c:v>Channel Partners-Mexico-Amarilla</c:v>
                </c:pt>
                <c:pt idx="611">
                  <c:v>Channel Partners-Germany-Amarilla</c:v>
                </c:pt>
                <c:pt idx="612">
                  <c:v>Government-Mexico-Carretera</c:v>
                </c:pt>
                <c:pt idx="613">
                  <c:v>Government-United States of America-Carretera</c:v>
                </c:pt>
                <c:pt idx="614">
                  <c:v>Government-United States of America-Carretera</c:v>
                </c:pt>
                <c:pt idx="615">
                  <c:v>Government-Germany-Carretera</c:v>
                </c:pt>
                <c:pt idx="616">
                  <c:v>Government-France-Montana</c:v>
                </c:pt>
                <c:pt idx="617">
                  <c:v>Government-United States of America-Montana</c:v>
                </c:pt>
                <c:pt idx="618">
                  <c:v>Midmarket-Germany-Paseo</c:v>
                </c:pt>
                <c:pt idx="619">
                  <c:v>Government-Canada-Paseo</c:v>
                </c:pt>
                <c:pt idx="620">
                  <c:v>Midmarket-United States of America-Paseo</c:v>
                </c:pt>
                <c:pt idx="621">
                  <c:v>Channel Partners-France-Paseo</c:v>
                </c:pt>
                <c:pt idx="622">
                  <c:v>Government-Germany-VTT</c:v>
                </c:pt>
                <c:pt idx="623">
                  <c:v>Channel Partners-France-Amarilla</c:v>
                </c:pt>
                <c:pt idx="624">
                  <c:v>Channel Partners-United States of America-Amarilla</c:v>
                </c:pt>
                <c:pt idx="625">
                  <c:v>Small Business-Mexico-Carretera</c:v>
                </c:pt>
                <c:pt idx="626">
                  <c:v>Enterprise-France-Carretera</c:v>
                </c:pt>
                <c:pt idx="627">
                  <c:v>Small Business-Canada-Carretera</c:v>
                </c:pt>
                <c:pt idx="628">
                  <c:v>Small Business-United States of America-Carretera</c:v>
                </c:pt>
                <c:pt idx="629">
                  <c:v>Midmarket-Germany-Carretera</c:v>
                </c:pt>
                <c:pt idx="630">
                  <c:v>Midmarket-Canada-Carretera</c:v>
                </c:pt>
                <c:pt idx="631">
                  <c:v>Enterprise-Mexico-Carretera</c:v>
                </c:pt>
                <c:pt idx="632">
                  <c:v>Government-Canada-Montana</c:v>
                </c:pt>
                <c:pt idx="633">
                  <c:v>Government-Germany-Montana</c:v>
                </c:pt>
                <c:pt idx="634">
                  <c:v>Government-Canada-Montana</c:v>
                </c:pt>
                <c:pt idx="635">
                  <c:v>Government-Canada-Montana</c:v>
                </c:pt>
                <c:pt idx="636">
                  <c:v>Government-Mexico-Montana</c:v>
                </c:pt>
                <c:pt idx="637">
                  <c:v>Midmarket-Canada-Montana</c:v>
                </c:pt>
                <c:pt idx="638">
                  <c:v>Government-Mexico-Paseo</c:v>
                </c:pt>
                <c:pt idx="639">
                  <c:v>Midmarket-Canada-Paseo</c:v>
                </c:pt>
                <c:pt idx="640">
                  <c:v>Midmarket-Canada-Paseo</c:v>
                </c:pt>
                <c:pt idx="641">
                  <c:v>Channel Partners-United States of America-Paseo</c:v>
                </c:pt>
                <c:pt idx="642">
                  <c:v>Government-France-Paseo</c:v>
                </c:pt>
                <c:pt idx="643">
                  <c:v>Government-Canada-Paseo</c:v>
                </c:pt>
                <c:pt idx="644">
                  <c:v>Channel Partners-Canada-Paseo</c:v>
                </c:pt>
                <c:pt idx="645">
                  <c:v>Government-United States of America-Paseo</c:v>
                </c:pt>
                <c:pt idx="646">
                  <c:v>Government-France-Paseo</c:v>
                </c:pt>
                <c:pt idx="647">
                  <c:v>Enterprise-Mexico-Velo</c:v>
                </c:pt>
                <c:pt idx="648">
                  <c:v>Government-United States of America-Velo</c:v>
                </c:pt>
                <c:pt idx="649">
                  <c:v>Small Business-United States of America-Velo</c:v>
                </c:pt>
                <c:pt idx="650">
                  <c:v>Small Business-Canada-Velo</c:v>
                </c:pt>
                <c:pt idx="651">
                  <c:v>Small Business-Germany-Velo</c:v>
                </c:pt>
                <c:pt idx="652">
                  <c:v>Government-Mexico-VTT</c:v>
                </c:pt>
                <c:pt idx="653">
                  <c:v>Small Business-United States of America-VTT</c:v>
                </c:pt>
                <c:pt idx="654">
                  <c:v>Small Business-Canada-VTT</c:v>
                </c:pt>
                <c:pt idx="655">
                  <c:v>Small Business-Canada-VTT</c:v>
                </c:pt>
                <c:pt idx="656">
                  <c:v>Small Business-United States of America-VTT</c:v>
                </c:pt>
                <c:pt idx="657">
                  <c:v>Government-France-VTT</c:v>
                </c:pt>
                <c:pt idx="658">
                  <c:v>Small Business-Canada-Amarilla</c:v>
                </c:pt>
                <c:pt idx="659">
                  <c:v>Enterprise-United States of America-Amarilla</c:v>
                </c:pt>
                <c:pt idx="660">
                  <c:v>Channel Partners-France-Amarilla</c:v>
                </c:pt>
                <c:pt idx="661">
                  <c:v>Midmarket-Canada-Amarilla</c:v>
                </c:pt>
                <c:pt idx="662">
                  <c:v>Channel Partners-United States of America-Amarilla</c:v>
                </c:pt>
                <c:pt idx="663">
                  <c:v>Government-France-Amarilla</c:v>
                </c:pt>
                <c:pt idx="664">
                  <c:v>Government-Mexico-Amarilla</c:v>
                </c:pt>
                <c:pt idx="665">
                  <c:v>Midmarket-Mexico-Amarilla</c:v>
                </c:pt>
                <c:pt idx="666">
                  <c:v>Enterprise-France-Carretera</c:v>
                </c:pt>
                <c:pt idx="667">
                  <c:v>Enterprise-Germany-Carretera</c:v>
                </c:pt>
                <c:pt idx="668">
                  <c:v>Enterprise-Germany-Carretera</c:v>
                </c:pt>
                <c:pt idx="669">
                  <c:v>Small Business-Mexico-Montana</c:v>
                </c:pt>
                <c:pt idx="670">
                  <c:v>Government-Germany-Paseo</c:v>
                </c:pt>
                <c:pt idx="671">
                  <c:v>Midmarket-Canada-Paseo</c:v>
                </c:pt>
                <c:pt idx="672">
                  <c:v>Government-Mexico-Paseo</c:v>
                </c:pt>
                <c:pt idx="673">
                  <c:v>Government-Mexico-Paseo</c:v>
                </c:pt>
                <c:pt idx="674">
                  <c:v>Midmarket-Canada-Paseo</c:v>
                </c:pt>
                <c:pt idx="675">
                  <c:v>Government-United States of America-Paseo</c:v>
                </c:pt>
                <c:pt idx="676">
                  <c:v>Enterprise-Germany-Paseo</c:v>
                </c:pt>
                <c:pt idx="677">
                  <c:v>Midmarket-Germany-Paseo</c:v>
                </c:pt>
                <c:pt idx="678">
                  <c:v>Government-United States of America-Paseo</c:v>
                </c:pt>
                <c:pt idx="679">
                  <c:v>Government-Mexico-Paseo</c:v>
                </c:pt>
                <c:pt idx="680">
                  <c:v>Channel Partners-United States of America-Paseo</c:v>
                </c:pt>
                <c:pt idx="681">
                  <c:v>Government-France-Paseo</c:v>
                </c:pt>
                <c:pt idx="682">
                  <c:v>Channel Partners-Mexico-Velo</c:v>
                </c:pt>
                <c:pt idx="683">
                  <c:v>Midmarket-France-Velo</c:v>
                </c:pt>
                <c:pt idx="684">
                  <c:v>Enterprise-France-Velo</c:v>
                </c:pt>
                <c:pt idx="685">
                  <c:v>Small Business-United States of America-Velo</c:v>
                </c:pt>
                <c:pt idx="686">
                  <c:v>Enterprise-United States of America-Velo</c:v>
                </c:pt>
                <c:pt idx="687">
                  <c:v>Channel Partners-United States of America-Velo</c:v>
                </c:pt>
                <c:pt idx="688">
                  <c:v>Government-Canada-VTT</c:v>
                </c:pt>
                <c:pt idx="689">
                  <c:v>Midmarket-Germany-VTT</c:v>
                </c:pt>
                <c:pt idx="690">
                  <c:v>Government-United States of America-VTT</c:v>
                </c:pt>
                <c:pt idx="691">
                  <c:v>Midmarket-Germany-VTT</c:v>
                </c:pt>
                <c:pt idx="692">
                  <c:v>Enterprise-Canada-VTT</c:v>
                </c:pt>
                <c:pt idx="693">
                  <c:v>Enterprise-Germany-VTT</c:v>
                </c:pt>
                <c:pt idx="694">
                  <c:v>Government-France-VTT</c:v>
                </c:pt>
                <c:pt idx="695">
                  <c:v>Small Business-France-Amarilla</c:v>
                </c:pt>
                <c:pt idx="696">
                  <c:v>Small Business-Mexico-Amarilla</c:v>
                </c:pt>
                <c:pt idx="697">
                  <c:v>Government-Mexico-Montana</c:v>
                </c:pt>
                <c:pt idx="698">
                  <c:v>Government-Canada-Paseo</c:v>
                </c:pt>
                <c:pt idx="699">
                  <c:v>Channel Partners-United States of America-VTT</c:v>
                </c:pt>
              </c:strCache>
            </c:strRef>
          </c:xVal>
          <c:yVal>
            <c:numRef>
              <c:f>Sheet1!$F$4:$F$703</c:f>
              <c:numCache>
                <c:formatCode>#,##0.00</c:formatCode>
                <c:ptCount val="700"/>
                <c:pt idx="0">
                  <c:v>32370</c:v>
                </c:pt>
                <c:pt idx="1">
                  <c:v>26420</c:v>
                </c:pt>
                <c:pt idx="2">
                  <c:v>32670</c:v>
                </c:pt>
                <c:pt idx="3">
                  <c:v>13320</c:v>
                </c:pt>
                <c:pt idx="4">
                  <c:v>37050</c:v>
                </c:pt>
                <c:pt idx="5">
                  <c:v>0</c:v>
                </c:pt>
                <c:pt idx="6">
                  <c:v>13815</c:v>
                </c:pt>
                <c:pt idx="7">
                  <c:v>30216</c:v>
                </c:pt>
                <c:pt idx="8">
                  <c:v>37980</c:v>
                </c:pt>
                <c:pt idx="9">
                  <c:v>18540</c:v>
                </c:pt>
                <c:pt idx="10">
                  <c:v>37050</c:v>
                </c:pt>
                <c:pt idx="11">
                  <c:v>0</c:v>
                </c:pt>
                <c:pt idx="12">
                  <c:v>0</c:v>
                </c:pt>
                <c:pt idx="13">
                  <c:v>15022</c:v>
                </c:pt>
                <c:pt idx="14">
                  <c:v>43125</c:v>
                </c:pt>
                <c:pt idx="15">
                  <c:v>9225</c:v>
                </c:pt>
                <c:pt idx="16">
                  <c:v>5840</c:v>
                </c:pt>
                <c:pt idx="17">
                  <c:v>14610</c:v>
                </c:pt>
                <c:pt idx="18">
                  <c:v>30216</c:v>
                </c:pt>
                <c:pt idx="19">
                  <c:v>0</c:v>
                </c:pt>
                <c:pt idx="20">
                  <c:v>4404</c:v>
                </c:pt>
                <c:pt idx="21">
                  <c:v>6181</c:v>
                </c:pt>
                <c:pt idx="22">
                  <c:v>8235</c:v>
                </c:pt>
                <c:pt idx="23">
                  <c:v>0</c:v>
                </c:pt>
                <c:pt idx="24">
                  <c:v>37080</c:v>
                </c:pt>
                <c:pt idx="25">
                  <c:v>8001</c:v>
                </c:pt>
                <c:pt idx="26">
                  <c:v>0</c:v>
                </c:pt>
                <c:pt idx="27">
                  <c:v>10944</c:v>
                </c:pt>
                <c:pt idx="28">
                  <c:v>32280</c:v>
                </c:pt>
                <c:pt idx="29">
                  <c:v>36340</c:v>
                </c:pt>
                <c:pt idx="30">
                  <c:v>0</c:v>
                </c:pt>
                <c:pt idx="31">
                  <c:v>10451</c:v>
                </c:pt>
                <c:pt idx="32">
                  <c:v>0</c:v>
                </c:pt>
                <c:pt idx="33">
                  <c:v>25932</c:v>
                </c:pt>
                <c:pt idx="34">
                  <c:v>0</c:v>
                </c:pt>
                <c:pt idx="35">
                  <c:v>18540</c:v>
                </c:pt>
                <c:pt idx="36">
                  <c:v>0</c:v>
                </c:pt>
                <c:pt idx="37">
                  <c:v>43125</c:v>
                </c:pt>
                <c:pt idx="38">
                  <c:v>0</c:v>
                </c:pt>
                <c:pt idx="39">
                  <c:v>34056</c:v>
                </c:pt>
                <c:pt idx="40">
                  <c:v>32670</c:v>
                </c:pt>
                <c:pt idx="41">
                  <c:v>13320</c:v>
                </c:pt>
                <c:pt idx="42">
                  <c:v>0</c:v>
                </c:pt>
                <c:pt idx="43">
                  <c:v>0</c:v>
                </c:pt>
                <c:pt idx="44">
                  <c:v>36340</c:v>
                </c:pt>
                <c:pt idx="45">
                  <c:v>0</c:v>
                </c:pt>
                <c:pt idx="46">
                  <c:v>23436</c:v>
                </c:pt>
                <c:pt idx="47">
                  <c:v>0</c:v>
                </c:pt>
                <c:pt idx="48">
                  <c:v>37980</c:v>
                </c:pt>
                <c:pt idx="49">
                  <c:v>11802</c:v>
                </c:pt>
                <c:pt idx="50">
                  <c:v>25692</c:v>
                </c:pt>
                <c:pt idx="51">
                  <c:v>8001</c:v>
                </c:pt>
                <c:pt idx="52">
                  <c:v>9225</c:v>
                </c:pt>
                <c:pt idx="53">
                  <c:v>27615</c:v>
                </c:pt>
                <c:pt idx="54">
                  <c:v>34440</c:v>
                </c:pt>
                <c:pt idx="55">
                  <c:v>7210</c:v>
                </c:pt>
                <c:pt idx="56">
                  <c:v>4473</c:v>
                </c:pt>
                <c:pt idx="57">
                  <c:v>9282</c:v>
                </c:pt>
                <c:pt idx="58">
                  <c:v>22296</c:v>
                </c:pt>
                <c:pt idx="59">
                  <c:v>0</c:v>
                </c:pt>
                <c:pt idx="60">
                  <c:v>17703</c:v>
                </c:pt>
                <c:pt idx="61">
                  <c:v>17340</c:v>
                </c:pt>
                <c:pt idx="62">
                  <c:v>41250</c:v>
                </c:pt>
                <c:pt idx="63">
                  <c:v>32052</c:v>
                </c:pt>
                <c:pt idx="64">
                  <c:v>9192</c:v>
                </c:pt>
                <c:pt idx="65">
                  <c:v>0</c:v>
                </c:pt>
                <c:pt idx="66">
                  <c:v>0</c:v>
                </c:pt>
                <c:pt idx="67">
                  <c:v>0</c:v>
                </c:pt>
                <c:pt idx="68">
                  <c:v>33210</c:v>
                </c:pt>
                <c:pt idx="69">
                  <c:v>0</c:v>
                </c:pt>
                <c:pt idx="70">
                  <c:v>27510</c:v>
                </c:pt>
                <c:pt idx="71">
                  <c:v>12810</c:v>
                </c:pt>
                <c:pt idx="72">
                  <c:v>0</c:v>
                </c:pt>
                <c:pt idx="73">
                  <c:v>82875</c:v>
                </c:pt>
                <c:pt idx="74">
                  <c:v>22710</c:v>
                </c:pt>
                <c:pt idx="75">
                  <c:v>31447.5</c:v>
                </c:pt>
                <c:pt idx="76">
                  <c:v>90875</c:v>
                </c:pt>
                <c:pt idx="77">
                  <c:v>98375</c:v>
                </c:pt>
                <c:pt idx="78">
                  <c:v>0</c:v>
                </c:pt>
                <c:pt idx="79">
                  <c:v>11205</c:v>
                </c:pt>
                <c:pt idx="80">
                  <c:v>9192</c:v>
                </c:pt>
                <c:pt idx="81">
                  <c:v>0</c:v>
                </c:pt>
                <c:pt idx="82">
                  <c:v>0</c:v>
                </c:pt>
                <c:pt idx="83">
                  <c:v>77280</c:v>
                </c:pt>
                <c:pt idx="84">
                  <c:v>2534</c:v>
                </c:pt>
                <c:pt idx="85">
                  <c:v>0</c:v>
                </c:pt>
                <c:pt idx="86">
                  <c:v>82875</c:v>
                </c:pt>
                <c:pt idx="87">
                  <c:v>14644</c:v>
                </c:pt>
                <c:pt idx="88">
                  <c:v>1841</c:v>
                </c:pt>
                <c:pt idx="89">
                  <c:v>0</c:v>
                </c:pt>
                <c:pt idx="90">
                  <c:v>90875</c:v>
                </c:pt>
                <c:pt idx="91">
                  <c:v>98375</c:v>
                </c:pt>
                <c:pt idx="92">
                  <c:v>0</c:v>
                </c:pt>
                <c:pt idx="93">
                  <c:v>0</c:v>
                </c:pt>
                <c:pt idx="94">
                  <c:v>0</c:v>
                </c:pt>
                <c:pt idx="95">
                  <c:v>0</c:v>
                </c:pt>
                <c:pt idx="96">
                  <c:v>23868</c:v>
                </c:pt>
                <c:pt idx="97">
                  <c:v>4815</c:v>
                </c:pt>
                <c:pt idx="98">
                  <c:v>92812.5</c:v>
                </c:pt>
                <c:pt idx="99">
                  <c:v>15540</c:v>
                </c:pt>
                <c:pt idx="100">
                  <c:v>64200</c:v>
                </c:pt>
                <c:pt idx="101">
                  <c:v>15015</c:v>
                </c:pt>
                <c:pt idx="102">
                  <c:v>0</c:v>
                </c:pt>
                <c:pt idx="103">
                  <c:v>13704</c:v>
                </c:pt>
                <c:pt idx="104">
                  <c:v>31320</c:v>
                </c:pt>
                <c:pt idx="105">
                  <c:v>8280</c:v>
                </c:pt>
                <c:pt idx="106">
                  <c:v>0</c:v>
                </c:pt>
                <c:pt idx="107">
                  <c:v>35445</c:v>
                </c:pt>
                <c:pt idx="108">
                  <c:v>0</c:v>
                </c:pt>
                <c:pt idx="109">
                  <c:v>0</c:v>
                </c:pt>
                <c:pt idx="110">
                  <c:v>13704</c:v>
                </c:pt>
                <c:pt idx="111">
                  <c:v>82750</c:v>
                </c:pt>
                <c:pt idx="112">
                  <c:v>15540</c:v>
                </c:pt>
                <c:pt idx="113">
                  <c:v>0</c:v>
                </c:pt>
                <c:pt idx="114">
                  <c:v>0</c:v>
                </c:pt>
                <c:pt idx="115">
                  <c:v>21420</c:v>
                </c:pt>
                <c:pt idx="116">
                  <c:v>0</c:v>
                </c:pt>
                <c:pt idx="117">
                  <c:v>0</c:v>
                </c:pt>
                <c:pt idx="118">
                  <c:v>0</c:v>
                </c:pt>
                <c:pt idx="119">
                  <c:v>28875</c:v>
                </c:pt>
                <c:pt idx="120">
                  <c:v>14091</c:v>
                </c:pt>
                <c:pt idx="121">
                  <c:v>12660</c:v>
                </c:pt>
                <c:pt idx="122">
                  <c:v>13008</c:v>
                </c:pt>
                <c:pt idx="123">
                  <c:v>31320</c:v>
                </c:pt>
                <c:pt idx="124">
                  <c:v>0</c:v>
                </c:pt>
                <c:pt idx="125">
                  <c:v>0</c:v>
                </c:pt>
                <c:pt idx="126">
                  <c:v>0</c:v>
                </c:pt>
                <c:pt idx="127">
                  <c:v>0</c:v>
                </c:pt>
                <c:pt idx="128">
                  <c:v>12660</c:v>
                </c:pt>
                <c:pt idx="129">
                  <c:v>10880</c:v>
                </c:pt>
                <c:pt idx="130">
                  <c:v>13008</c:v>
                </c:pt>
                <c:pt idx="131">
                  <c:v>82750</c:v>
                </c:pt>
                <c:pt idx="132">
                  <c:v>64200</c:v>
                </c:pt>
                <c:pt idx="133">
                  <c:v>0</c:v>
                </c:pt>
                <c:pt idx="134">
                  <c:v>0</c:v>
                </c:pt>
                <c:pt idx="135">
                  <c:v>93100</c:v>
                </c:pt>
                <c:pt idx="136">
                  <c:v>0</c:v>
                </c:pt>
                <c:pt idx="137">
                  <c:v>77700</c:v>
                </c:pt>
                <c:pt idx="138">
                  <c:v>0</c:v>
                </c:pt>
                <c:pt idx="139">
                  <c:v>0</c:v>
                </c:pt>
                <c:pt idx="140">
                  <c:v>0</c:v>
                </c:pt>
                <c:pt idx="141">
                  <c:v>24720</c:v>
                </c:pt>
                <c:pt idx="142">
                  <c:v>18820</c:v>
                </c:pt>
                <c:pt idx="143">
                  <c:v>0</c:v>
                </c:pt>
                <c:pt idx="144">
                  <c:v>0</c:v>
                </c:pt>
                <c:pt idx="145">
                  <c:v>51600</c:v>
                </c:pt>
                <c:pt idx="146">
                  <c:v>0</c:v>
                </c:pt>
                <c:pt idx="147">
                  <c:v>23364</c:v>
                </c:pt>
                <c:pt idx="148">
                  <c:v>10896</c:v>
                </c:pt>
                <c:pt idx="149">
                  <c:v>13706</c:v>
                </c:pt>
                <c:pt idx="150">
                  <c:v>22812</c:v>
                </c:pt>
                <c:pt idx="151">
                  <c:v>3808</c:v>
                </c:pt>
                <c:pt idx="152">
                  <c:v>0</c:v>
                </c:pt>
                <c:pt idx="153">
                  <c:v>0</c:v>
                </c:pt>
                <c:pt idx="154">
                  <c:v>0</c:v>
                </c:pt>
                <c:pt idx="155">
                  <c:v>0</c:v>
                </c:pt>
                <c:pt idx="156">
                  <c:v>0</c:v>
                </c:pt>
                <c:pt idx="157">
                  <c:v>22812</c:v>
                </c:pt>
                <c:pt idx="158">
                  <c:v>0</c:v>
                </c:pt>
                <c:pt idx="159">
                  <c:v>0</c:v>
                </c:pt>
                <c:pt idx="160">
                  <c:v>16434</c:v>
                </c:pt>
                <c:pt idx="161">
                  <c:v>0</c:v>
                </c:pt>
                <c:pt idx="162">
                  <c:v>29175</c:v>
                </c:pt>
                <c:pt idx="163">
                  <c:v>0</c:v>
                </c:pt>
                <c:pt idx="164">
                  <c:v>0</c:v>
                </c:pt>
                <c:pt idx="165">
                  <c:v>0</c:v>
                </c:pt>
                <c:pt idx="166">
                  <c:v>0</c:v>
                </c:pt>
                <c:pt idx="167">
                  <c:v>22992</c:v>
                </c:pt>
                <c:pt idx="168">
                  <c:v>0</c:v>
                </c:pt>
                <c:pt idx="169">
                  <c:v>0</c:v>
                </c:pt>
                <c:pt idx="170">
                  <c:v>0</c:v>
                </c:pt>
                <c:pt idx="171">
                  <c:v>29175</c:v>
                </c:pt>
                <c:pt idx="172">
                  <c:v>16620</c:v>
                </c:pt>
                <c:pt idx="173">
                  <c:v>12320</c:v>
                </c:pt>
                <c:pt idx="174">
                  <c:v>77010</c:v>
                </c:pt>
                <c:pt idx="175">
                  <c:v>29748</c:v>
                </c:pt>
                <c:pt idx="176">
                  <c:v>30465</c:v>
                </c:pt>
                <c:pt idx="177">
                  <c:v>30465</c:v>
                </c:pt>
                <c:pt idx="178">
                  <c:v>33915</c:v>
                </c:pt>
                <c:pt idx="179">
                  <c:v>14720</c:v>
                </c:pt>
                <c:pt idx="180">
                  <c:v>19957</c:v>
                </c:pt>
                <c:pt idx="181">
                  <c:v>0</c:v>
                </c:pt>
                <c:pt idx="182">
                  <c:v>95900</c:v>
                </c:pt>
                <c:pt idx="183">
                  <c:v>29505</c:v>
                </c:pt>
                <c:pt idx="184">
                  <c:v>0</c:v>
                </c:pt>
                <c:pt idx="185">
                  <c:v>19957</c:v>
                </c:pt>
                <c:pt idx="186">
                  <c:v>0</c:v>
                </c:pt>
                <c:pt idx="187">
                  <c:v>0</c:v>
                </c:pt>
                <c:pt idx="188">
                  <c:v>29757</c:v>
                </c:pt>
                <c:pt idx="189">
                  <c:v>99375</c:v>
                </c:pt>
                <c:pt idx="190">
                  <c:v>0</c:v>
                </c:pt>
                <c:pt idx="191">
                  <c:v>0</c:v>
                </c:pt>
                <c:pt idx="192">
                  <c:v>0</c:v>
                </c:pt>
                <c:pt idx="193">
                  <c:v>0</c:v>
                </c:pt>
                <c:pt idx="194">
                  <c:v>3270</c:v>
                </c:pt>
                <c:pt idx="195">
                  <c:v>41480</c:v>
                </c:pt>
                <c:pt idx="196">
                  <c:v>21120</c:v>
                </c:pt>
                <c:pt idx="197">
                  <c:v>10065</c:v>
                </c:pt>
                <c:pt idx="198">
                  <c:v>22710</c:v>
                </c:pt>
                <c:pt idx="199">
                  <c:v>95900</c:v>
                </c:pt>
                <c:pt idx="200">
                  <c:v>0</c:v>
                </c:pt>
                <c:pt idx="201">
                  <c:v>17580</c:v>
                </c:pt>
                <c:pt idx="202">
                  <c:v>52920</c:v>
                </c:pt>
                <c:pt idx="203">
                  <c:v>0</c:v>
                </c:pt>
                <c:pt idx="204">
                  <c:v>10392</c:v>
                </c:pt>
                <c:pt idx="205">
                  <c:v>0</c:v>
                </c:pt>
                <c:pt idx="206">
                  <c:v>0</c:v>
                </c:pt>
                <c:pt idx="207">
                  <c:v>22710</c:v>
                </c:pt>
                <c:pt idx="208">
                  <c:v>0</c:v>
                </c:pt>
                <c:pt idx="209">
                  <c:v>0</c:v>
                </c:pt>
                <c:pt idx="210">
                  <c:v>0</c:v>
                </c:pt>
                <c:pt idx="211">
                  <c:v>10065</c:v>
                </c:pt>
                <c:pt idx="212">
                  <c:v>0</c:v>
                </c:pt>
                <c:pt idx="213">
                  <c:v>8113</c:v>
                </c:pt>
                <c:pt idx="214">
                  <c:v>9604</c:v>
                </c:pt>
                <c:pt idx="215">
                  <c:v>16443</c:v>
                </c:pt>
                <c:pt idx="216">
                  <c:v>18823</c:v>
                </c:pt>
                <c:pt idx="217">
                  <c:v>29172</c:v>
                </c:pt>
                <c:pt idx="218">
                  <c:v>29172</c:v>
                </c:pt>
                <c:pt idx="219">
                  <c:v>18823</c:v>
                </c:pt>
                <c:pt idx="220">
                  <c:v>11781</c:v>
                </c:pt>
                <c:pt idx="221">
                  <c:v>13476</c:v>
                </c:pt>
                <c:pt idx="222">
                  <c:v>8113</c:v>
                </c:pt>
                <c:pt idx="223">
                  <c:v>22380</c:v>
                </c:pt>
                <c:pt idx="224">
                  <c:v>13392</c:v>
                </c:pt>
                <c:pt idx="225">
                  <c:v>31260</c:v>
                </c:pt>
                <c:pt idx="226">
                  <c:v>0</c:v>
                </c:pt>
                <c:pt idx="227">
                  <c:v>7112</c:v>
                </c:pt>
                <c:pt idx="228">
                  <c:v>41865</c:v>
                </c:pt>
                <c:pt idx="229">
                  <c:v>3990</c:v>
                </c:pt>
                <c:pt idx="230">
                  <c:v>17409</c:v>
                </c:pt>
                <c:pt idx="231">
                  <c:v>0</c:v>
                </c:pt>
                <c:pt idx="232">
                  <c:v>0</c:v>
                </c:pt>
                <c:pt idx="233">
                  <c:v>0</c:v>
                </c:pt>
                <c:pt idx="234">
                  <c:v>28104</c:v>
                </c:pt>
                <c:pt idx="235">
                  <c:v>0</c:v>
                </c:pt>
                <c:pt idx="236">
                  <c:v>26060</c:v>
                </c:pt>
                <c:pt idx="237">
                  <c:v>0</c:v>
                </c:pt>
                <c:pt idx="238">
                  <c:v>0</c:v>
                </c:pt>
                <c:pt idx="239">
                  <c:v>0</c:v>
                </c:pt>
                <c:pt idx="240">
                  <c:v>16289</c:v>
                </c:pt>
                <c:pt idx="241">
                  <c:v>0</c:v>
                </c:pt>
                <c:pt idx="242">
                  <c:v>0</c:v>
                </c:pt>
                <c:pt idx="243">
                  <c:v>39300</c:v>
                </c:pt>
                <c:pt idx="244">
                  <c:v>0</c:v>
                </c:pt>
                <c:pt idx="245">
                  <c:v>27780</c:v>
                </c:pt>
                <c:pt idx="246">
                  <c:v>0</c:v>
                </c:pt>
                <c:pt idx="247">
                  <c:v>88000</c:v>
                </c:pt>
                <c:pt idx="248">
                  <c:v>36040</c:v>
                </c:pt>
                <c:pt idx="249">
                  <c:v>53260</c:v>
                </c:pt>
                <c:pt idx="250">
                  <c:v>14952</c:v>
                </c:pt>
                <c:pt idx="251">
                  <c:v>31740</c:v>
                </c:pt>
                <c:pt idx="252">
                  <c:v>8325</c:v>
                </c:pt>
                <c:pt idx="253">
                  <c:v>42915</c:v>
                </c:pt>
                <c:pt idx="254">
                  <c:v>0</c:v>
                </c:pt>
                <c:pt idx="255">
                  <c:v>0</c:v>
                </c:pt>
                <c:pt idx="256">
                  <c:v>56640</c:v>
                </c:pt>
                <c:pt idx="257">
                  <c:v>31580</c:v>
                </c:pt>
                <c:pt idx="258">
                  <c:v>0</c:v>
                </c:pt>
                <c:pt idx="259">
                  <c:v>88000</c:v>
                </c:pt>
                <c:pt idx="260">
                  <c:v>20660</c:v>
                </c:pt>
                <c:pt idx="261">
                  <c:v>0</c:v>
                </c:pt>
                <c:pt idx="262">
                  <c:v>27780</c:v>
                </c:pt>
                <c:pt idx="263">
                  <c:v>25300</c:v>
                </c:pt>
                <c:pt idx="264">
                  <c:v>45940</c:v>
                </c:pt>
                <c:pt idx="265">
                  <c:v>53260</c:v>
                </c:pt>
                <c:pt idx="266">
                  <c:v>3990</c:v>
                </c:pt>
                <c:pt idx="267">
                  <c:v>17409</c:v>
                </c:pt>
                <c:pt idx="268">
                  <c:v>0</c:v>
                </c:pt>
                <c:pt idx="269">
                  <c:v>0</c:v>
                </c:pt>
                <c:pt idx="270">
                  <c:v>0</c:v>
                </c:pt>
                <c:pt idx="271">
                  <c:v>0</c:v>
                </c:pt>
                <c:pt idx="272">
                  <c:v>57015</c:v>
                </c:pt>
                <c:pt idx="273">
                  <c:v>22350</c:v>
                </c:pt>
                <c:pt idx="274">
                  <c:v>42660</c:v>
                </c:pt>
                <c:pt idx="275">
                  <c:v>6744</c:v>
                </c:pt>
                <c:pt idx="276">
                  <c:v>27588</c:v>
                </c:pt>
                <c:pt idx="277">
                  <c:v>30450</c:v>
                </c:pt>
                <c:pt idx="278">
                  <c:v>1841</c:v>
                </c:pt>
                <c:pt idx="279">
                  <c:v>0</c:v>
                </c:pt>
                <c:pt idx="280">
                  <c:v>0</c:v>
                </c:pt>
                <c:pt idx="281">
                  <c:v>0</c:v>
                </c:pt>
                <c:pt idx="282">
                  <c:v>9821</c:v>
                </c:pt>
                <c:pt idx="283">
                  <c:v>32676</c:v>
                </c:pt>
                <c:pt idx="284">
                  <c:v>0</c:v>
                </c:pt>
                <c:pt idx="285">
                  <c:v>27588</c:v>
                </c:pt>
                <c:pt idx="286">
                  <c:v>0</c:v>
                </c:pt>
                <c:pt idx="287">
                  <c:v>0</c:v>
                </c:pt>
                <c:pt idx="288">
                  <c:v>0</c:v>
                </c:pt>
                <c:pt idx="289">
                  <c:v>22950</c:v>
                </c:pt>
                <c:pt idx="290">
                  <c:v>0</c:v>
                </c:pt>
                <c:pt idx="291">
                  <c:v>10486</c:v>
                </c:pt>
                <c:pt idx="292">
                  <c:v>0</c:v>
                </c:pt>
                <c:pt idx="293">
                  <c:v>0</c:v>
                </c:pt>
                <c:pt idx="294">
                  <c:v>42660</c:v>
                </c:pt>
                <c:pt idx="295">
                  <c:v>10486</c:v>
                </c:pt>
                <c:pt idx="296">
                  <c:v>0</c:v>
                </c:pt>
                <c:pt idx="297">
                  <c:v>22460</c:v>
                </c:pt>
                <c:pt idx="298">
                  <c:v>0</c:v>
                </c:pt>
                <c:pt idx="299">
                  <c:v>0</c:v>
                </c:pt>
                <c:pt idx="300">
                  <c:v>0</c:v>
                </c:pt>
                <c:pt idx="301">
                  <c:v>0</c:v>
                </c:pt>
                <c:pt idx="302">
                  <c:v>9821</c:v>
                </c:pt>
                <c:pt idx="303">
                  <c:v>0</c:v>
                </c:pt>
                <c:pt idx="304">
                  <c:v>35140</c:v>
                </c:pt>
                <c:pt idx="305">
                  <c:v>32970</c:v>
                </c:pt>
                <c:pt idx="306">
                  <c:v>26145</c:v>
                </c:pt>
                <c:pt idx="307">
                  <c:v>17295</c:v>
                </c:pt>
                <c:pt idx="308">
                  <c:v>35140</c:v>
                </c:pt>
                <c:pt idx="309">
                  <c:v>20020</c:v>
                </c:pt>
                <c:pt idx="310">
                  <c:v>9331</c:v>
                </c:pt>
                <c:pt idx="311">
                  <c:v>17295</c:v>
                </c:pt>
                <c:pt idx="312">
                  <c:v>8724</c:v>
                </c:pt>
                <c:pt idx="313">
                  <c:v>22608</c:v>
                </c:pt>
                <c:pt idx="314">
                  <c:v>36680</c:v>
                </c:pt>
                <c:pt idx="315">
                  <c:v>28080</c:v>
                </c:pt>
                <c:pt idx="316">
                  <c:v>28104</c:v>
                </c:pt>
                <c:pt idx="317">
                  <c:v>7217</c:v>
                </c:pt>
                <c:pt idx="318">
                  <c:v>18930</c:v>
                </c:pt>
                <c:pt idx="319">
                  <c:v>7945</c:v>
                </c:pt>
                <c:pt idx="320">
                  <c:v>3829</c:v>
                </c:pt>
                <c:pt idx="321">
                  <c:v>11074</c:v>
                </c:pt>
                <c:pt idx="322">
                  <c:v>20862</c:v>
                </c:pt>
                <c:pt idx="323">
                  <c:v>26580</c:v>
                </c:pt>
                <c:pt idx="324">
                  <c:v>11074</c:v>
                </c:pt>
                <c:pt idx="325">
                  <c:v>7945</c:v>
                </c:pt>
                <c:pt idx="326">
                  <c:v>0</c:v>
                </c:pt>
                <c:pt idx="327">
                  <c:v>0</c:v>
                </c:pt>
                <c:pt idx="328">
                  <c:v>0</c:v>
                </c:pt>
                <c:pt idx="329">
                  <c:v>39520</c:v>
                </c:pt>
                <c:pt idx="330">
                  <c:v>0</c:v>
                </c:pt>
                <c:pt idx="331">
                  <c:v>0</c:v>
                </c:pt>
                <c:pt idx="332">
                  <c:v>0</c:v>
                </c:pt>
                <c:pt idx="333">
                  <c:v>0</c:v>
                </c:pt>
                <c:pt idx="334">
                  <c:v>0</c:v>
                </c:pt>
                <c:pt idx="335">
                  <c:v>31515</c:v>
                </c:pt>
                <c:pt idx="336">
                  <c:v>43965</c:v>
                </c:pt>
                <c:pt idx="337">
                  <c:v>30700</c:v>
                </c:pt>
                <c:pt idx="338">
                  <c:v>0</c:v>
                </c:pt>
                <c:pt idx="339">
                  <c:v>0</c:v>
                </c:pt>
                <c:pt idx="340">
                  <c:v>33156</c:v>
                </c:pt>
                <c:pt idx="341">
                  <c:v>14875</c:v>
                </c:pt>
                <c:pt idx="342">
                  <c:v>0</c:v>
                </c:pt>
                <c:pt idx="343">
                  <c:v>12180</c:v>
                </c:pt>
                <c:pt idx="344">
                  <c:v>0</c:v>
                </c:pt>
                <c:pt idx="345">
                  <c:v>39520</c:v>
                </c:pt>
                <c:pt idx="346">
                  <c:v>28420</c:v>
                </c:pt>
                <c:pt idx="347">
                  <c:v>0</c:v>
                </c:pt>
                <c:pt idx="348">
                  <c:v>11760</c:v>
                </c:pt>
                <c:pt idx="349">
                  <c:v>38934</c:v>
                </c:pt>
                <c:pt idx="350">
                  <c:v>0</c:v>
                </c:pt>
                <c:pt idx="351">
                  <c:v>0</c:v>
                </c:pt>
                <c:pt idx="352">
                  <c:v>0</c:v>
                </c:pt>
                <c:pt idx="353">
                  <c:v>0</c:v>
                </c:pt>
                <c:pt idx="354">
                  <c:v>0</c:v>
                </c:pt>
                <c:pt idx="355">
                  <c:v>22360</c:v>
                </c:pt>
                <c:pt idx="356">
                  <c:v>0</c:v>
                </c:pt>
                <c:pt idx="357">
                  <c:v>3416</c:v>
                </c:pt>
                <c:pt idx="358">
                  <c:v>25640</c:v>
                </c:pt>
                <c:pt idx="359">
                  <c:v>1799</c:v>
                </c:pt>
                <c:pt idx="360">
                  <c:v>25640</c:v>
                </c:pt>
                <c:pt idx="361">
                  <c:v>0</c:v>
                </c:pt>
                <c:pt idx="362">
                  <c:v>7350</c:v>
                </c:pt>
                <c:pt idx="363">
                  <c:v>0</c:v>
                </c:pt>
                <c:pt idx="364">
                  <c:v>37515</c:v>
                </c:pt>
                <c:pt idx="365">
                  <c:v>14160</c:v>
                </c:pt>
                <c:pt idx="366">
                  <c:v>12900</c:v>
                </c:pt>
                <c:pt idx="367">
                  <c:v>0</c:v>
                </c:pt>
                <c:pt idx="368">
                  <c:v>0</c:v>
                </c:pt>
                <c:pt idx="369">
                  <c:v>10665</c:v>
                </c:pt>
                <c:pt idx="370">
                  <c:v>0</c:v>
                </c:pt>
                <c:pt idx="371">
                  <c:v>8813</c:v>
                </c:pt>
                <c:pt idx="372">
                  <c:v>7665</c:v>
                </c:pt>
                <c:pt idx="373">
                  <c:v>27320</c:v>
                </c:pt>
                <c:pt idx="374">
                  <c:v>0</c:v>
                </c:pt>
                <c:pt idx="375">
                  <c:v>4746</c:v>
                </c:pt>
                <c:pt idx="376">
                  <c:v>11186</c:v>
                </c:pt>
                <c:pt idx="377">
                  <c:v>16863</c:v>
                </c:pt>
                <c:pt idx="378">
                  <c:v>38680</c:v>
                </c:pt>
                <c:pt idx="379">
                  <c:v>59860</c:v>
                </c:pt>
                <c:pt idx="380">
                  <c:v>0</c:v>
                </c:pt>
                <c:pt idx="381">
                  <c:v>13622</c:v>
                </c:pt>
                <c:pt idx="382">
                  <c:v>0</c:v>
                </c:pt>
                <c:pt idx="383">
                  <c:v>7176</c:v>
                </c:pt>
                <c:pt idx="384">
                  <c:v>20349</c:v>
                </c:pt>
                <c:pt idx="385">
                  <c:v>16366</c:v>
                </c:pt>
                <c:pt idx="386">
                  <c:v>0</c:v>
                </c:pt>
                <c:pt idx="387">
                  <c:v>0</c:v>
                </c:pt>
                <c:pt idx="388">
                  <c:v>0</c:v>
                </c:pt>
                <c:pt idx="389">
                  <c:v>16366</c:v>
                </c:pt>
                <c:pt idx="390">
                  <c:v>0</c:v>
                </c:pt>
                <c:pt idx="391">
                  <c:v>0</c:v>
                </c:pt>
                <c:pt idx="392">
                  <c:v>0</c:v>
                </c:pt>
                <c:pt idx="393">
                  <c:v>0</c:v>
                </c:pt>
                <c:pt idx="394">
                  <c:v>14160</c:v>
                </c:pt>
                <c:pt idx="395">
                  <c:v>20349</c:v>
                </c:pt>
                <c:pt idx="396">
                  <c:v>27320</c:v>
                </c:pt>
                <c:pt idx="397">
                  <c:v>0</c:v>
                </c:pt>
                <c:pt idx="398">
                  <c:v>30400</c:v>
                </c:pt>
                <c:pt idx="399">
                  <c:v>10665</c:v>
                </c:pt>
                <c:pt idx="400">
                  <c:v>16500</c:v>
                </c:pt>
                <c:pt idx="401">
                  <c:v>0</c:v>
                </c:pt>
                <c:pt idx="402">
                  <c:v>8730</c:v>
                </c:pt>
                <c:pt idx="403">
                  <c:v>0</c:v>
                </c:pt>
                <c:pt idx="404">
                  <c:v>4404</c:v>
                </c:pt>
                <c:pt idx="405">
                  <c:v>0</c:v>
                </c:pt>
                <c:pt idx="406">
                  <c:v>0</c:v>
                </c:pt>
                <c:pt idx="407">
                  <c:v>96600</c:v>
                </c:pt>
                <c:pt idx="408">
                  <c:v>27852</c:v>
                </c:pt>
                <c:pt idx="409">
                  <c:v>0</c:v>
                </c:pt>
                <c:pt idx="410">
                  <c:v>11277</c:v>
                </c:pt>
                <c:pt idx="411">
                  <c:v>0</c:v>
                </c:pt>
                <c:pt idx="412">
                  <c:v>0</c:v>
                </c:pt>
                <c:pt idx="413">
                  <c:v>0</c:v>
                </c:pt>
                <c:pt idx="414">
                  <c:v>0</c:v>
                </c:pt>
                <c:pt idx="415">
                  <c:v>55125</c:v>
                </c:pt>
                <c:pt idx="416">
                  <c:v>0</c:v>
                </c:pt>
                <c:pt idx="417">
                  <c:v>18405</c:v>
                </c:pt>
                <c:pt idx="418">
                  <c:v>4404</c:v>
                </c:pt>
                <c:pt idx="419">
                  <c:v>0</c:v>
                </c:pt>
                <c:pt idx="420">
                  <c:v>21300</c:v>
                </c:pt>
                <c:pt idx="421">
                  <c:v>0</c:v>
                </c:pt>
                <c:pt idx="422">
                  <c:v>3675</c:v>
                </c:pt>
                <c:pt idx="423">
                  <c:v>0</c:v>
                </c:pt>
                <c:pt idx="424">
                  <c:v>0</c:v>
                </c:pt>
                <c:pt idx="425">
                  <c:v>70875</c:v>
                </c:pt>
                <c:pt idx="426">
                  <c:v>0</c:v>
                </c:pt>
                <c:pt idx="427">
                  <c:v>0</c:v>
                </c:pt>
                <c:pt idx="428">
                  <c:v>23472</c:v>
                </c:pt>
                <c:pt idx="429">
                  <c:v>0</c:v>
                </c:pt>
                <c:pt idx="430">
                  <c:v>0</c:v>
                </c:pt>
                <c:pt idx="431">
                  <c:v>10560</c:v>
                </c:pt>
                <c:pt idx="432">
                  <c:v>0</c:v>
                </c:pt>
                <c:pt idx="433">
                  <c:v>26808</c:v>
                </c:pt>
                <c:pt idx="434">
                  <c:v>18405</c:v>
                </c:pt>
                <c:pt idx="435">
                  <c:v>0</c:v>
                </c:pt>
                <c:pt idx="436">
                  <c:v>0</c:v>
                </c:pt>
                <c:pt idx="437">
                  <c:v>0</c:v>
                </c:pt>
                <c:pt idx="438">
                  <c:v>14550</c:v>
                </c:pt>
                <c:pt idx="439">
                  <c:v>33880</c:v>
                </c:pt>
                <c:pt idx="440">
                  <c:v>13260</c:v>
                </c:pt>
                <c:pt idx="441">
                  <c:v>5733</c:v>
                </c:pt>
                <c:pt idx="442">
                  <c:v>18960</c:v>
                </c:pt>
                <c:pt idx="443">
                  <c:v>3647</c:v>
                </c:pt>
                <c:pt idx="444">
                  <c:v>19460</c:v>
                </c:pt>
                <c:pt idx="445">
                  <c:v>20760</c:v>
                </c:pt>
                <c:pt idx="446">
                  <c:v>2520</c:v>
                </c:pt>
                <c:pt idx="447">
                  <c:v>23604</c:v>
                </c:pt>
                <c:pt idx="448">
                  <c:v>39420</c:v>
                </c:pt>
                <c:pt idx="449">
                  <c:v>2520</c:v>
                </c:pt>
                <c:pt idx="450">
                  <c:v>53640</c:v>
                </c:pt>
                <c:pt idx="451">
                  <c:v>3647</c:v>
                </c:pt>
                <c:pt idx="452">
                  <c:v>20760</c:v>
                </c:pt>
                <c:pt idx="453">
                  <c:v>24457.5</c:v>
                </c:pt>
                <c:pt idx="454">
                  <c:v>3672</c:v>
                </c:pt>
                <c:pt idx="455">
                  <c:v>4632</c:v>
                </c:pt>
                <c:pt idx="456">
                  <c:v>16296</c:v>
                </c:pt>
                <c:pt idx="457">
                  <c:v>4632</c:v>
                </c:pt>
                <c:pt idx="458">
                  <c:v>0</c:v>
                </c:pt>
                <c:pt idx="459">
                  <c:v>0</c:v>
                </c:pt>
                <c:pt idx="460">
                  <c:v>0</c:v>
                </c:pt>
                <c:pt idx="461">
                  <c:v>0</c:v>
                </c:pt>
                <c:pt idx="462">
                  <c:v>31080</c:v>
                </c:pt>
                <c:pt idx="463">
                  <c:v>39080</c:v>
                </c:pt>
                <c:pt idx="464">
                  <c:v>0</c:v>
                </c:pt>
                <c:pt idx="465">
                  <c:v>32505</c:v>
                </c:pt>
                <c:pt idx="466">
                  <c:v>4820</c:v>
                </c:pt>
                <c:pt idx="467">
                  <c:v>10215</c:v>
                </c:pt>
                <c:pt idx="468">
                  <c:v>7650</c:v>
                </c:pt>
                <c:pt idx="469">
                  <c:v>11850</c:v>
                </c:pt>
                <c:pt idx="470">
                  <c:v>0</c:v>
                </c:pt>
                <c:pt idx="471">
                  <c:v>0</c:v>
                </c:pt>
                <c:pt idx="472">
                  <c:v>0</c:v>
                </c:pt>
                <c:pt idx="473">
                  <c:v>4820</c:v>
                </c:pt>
                <c:pt idx="474">
                  <c:v>18655</c:v>
                </c:pt>
                <c:pt idx="475">
                  <c:v>0</c:v>
                </c:pt>
                <c:pt idx="476">
                  <c:v>0</c:v>
                </c:pt>
                <c:pt idx="477">
                  <c:v>42625</c:v>
                </c:pt>
                <c:pt idx="478">
                  <c:v>9615</c:v>
                </c:pt>
                <c:pt idx="479">
                  <c:v>0</c:v>
                </c:pt>
                <c:pt idx="480">
                  <c:v>0</c:v>
                </c:pt>
                <c:pt idx="481">
                  <c:v>0</c:v>
                </c:pt>
                <c:pt idx="482">
                  <c:v>32505</c:v>
                </c:pt>
                <c:pt idx="483">
                  <c:v>0</c:v>
                </c:pt>
                <c:pt idx="484">
                  <c:v>0</c:v>
                </c:pt>
                <c:pt idx="485">
                  <c:v>72375</c:v>
                </c:pt>
                <c:pt idx="486">
                  <c:v>0</c:v>
                </c:pt>
                <c:pt idx="487">
                  <c:v>0</c:v>
                </c:pt>
                <c:pt idx="488">
                  <c:v>42246</c:v>
                </c:pt>
                <c:pt idx="489">
                  <c:v>40780</c:v>
                </c:pt>
                <c:pt idx="490">
                  <c:v>30888</c:v>
                </c:pt>
                <c:pt idx="491">
                  <c:v>0</c:v>
                </c:pt>
                <c:pt idx="492">
                  <c:v>31080</c:v>
                </c:pt>
                <c:pt idx="493">
                  <c:v>0</c:v>
                </c:pt>
                <c:pt idx="494">
                  <c:v>14376</c:v>
                </c:pt>
                <c:pt idx="495">
                  <c:v>17724</c:v>
                </c:pt>
                <c:pt idx="496">
                  <c:v>14376</c:v>
                </c:pt>
                <c:pt idx="497">
                  <c:v>5760</c:v>
                </c:pt>
                <c:pt idx="498">
                  <c:v>5664</c:v>
                </c:pt>
                <c:pt idx="499">
                  <c:v>11053</c:v>
                </c:pt>
                <c:pt idx="500">
                  <c:v>12060</c:v>
                </c:pt>
                <c:pt idx="501">
                  <c:v>47992.5</c:v>
                </c:pt>
                <c:pt idx="502">
                  <c:v>5664</c:v>
                </c:pt>
                <c:pt idx="503">
                  <c:v>23244</c:v>
                </c:pt>
                <c:pt idx="504">
                  <c:v>0</c:v>
                </c:pt>
                <c:pt idx="505">
                  <c:v>0</c:v>
                </c:pt>
                <c:pt idx="506">
                  <c:v>0</c:v>
                </c:pt>
                <c:pt idx="507">
                  <c:v>23400</c:v>
                </c:pt>
                <c:pt idx="508">
                  <c:v>18942</c:v>
                </c:pt>
                <c:pt idx="509">
                  <c:v>0</c:v>
                </c:pt>
                <c:pt idx="510">
                  <c:v>59840</c:v>
                </c:pt>
                <c:pt idx="511">
                  <c:v>32355</c:v>
                </c:pt>
                <c:pt idx="512">
                  <c:v>0</c:v>
                </c:pt>
                <c:pt idx="513">
                  <c:v>22440</c:v>
                </c:pt>
                <c:pt idx="514">
                  <c:v>0</c:v>
                </c:pt>
                <c:pt idx="515">
                  <c:v>48312</c:v>
                </c:pt>
                <c:pt idx="516">
                  <c:v>29106</c:v>
                </c:pt>
                <c:pt idx="517">
                  <c:v>47880</c:v>
                </c:pt>
                <c:pt idx="518">
                  <c:v>29760</c:v>
                </c:pt>
                <c:pt idx="519">
                  <c:v>0</c:v>
                </c:pt>
                <c:pt idx="520">
                  <c:v>59840</c:v>
                </c:pt>
                <c:pt idx="521">
                  <c:v>0</c:v>
                </c:pt>
                <c:pt idx="522">
                  <c:v>56100</c:v>
                </c:pt>
                <c:pt idx="523">
                  <c:v>9825</c:v>
                </c:pt>
                <c:pt idx="524">
                  <c:v>0</c:v>
                </c:pt>
                <c:pt idx="525">
                  <c:v>12656</c:v>
                </c:pt>
                <c:pt idx="526">
                  <c:v>20808</c:v>
                </c:pt>
                <c:pt idx="527">
                  <c:v>69250</c:v>
                </c:pt>
                <c:pt idx="528">
                  <c:v>58700</c:v>
                </c:pt>
                <c:pt idx="529">
                  <c:v>0</c:v>
                </c:pt>
                <c:pt idx="530">
                  <c:v>52580</c:v>
                </c:pt>
                <c:pt idx="531">
                  <c:v>0</c:v>
                </c:pt>
                <c:pt idx="532">
                  <c:v>0</c:v>
                </c:pt>
                <c:pt idx="533">
                  <c:v>0</c:v>
                </c:pt>
                <c:pt idx="534">
                  <c:v>32355</c:v>
                </c:pt>
                <c:pt idx="535">
                  <c:v>2660</c:v>
                </c:pt>
                <c:pt idx="536">
                  <c:v>0</c:v>
                </c:pt>
                <c:pt idx="537">
                  <c:v>0</c:v>
                </c:pt>
                <c:pt idx="538">
                  <c:v>0</c:v>
                </c:pt>
                <c:pt idx="539">
                  <c:v>40335</c:v>
                </c:pt>
                <c:pt idx="540">
                  <c:v>10155</c:v>
                </c:pt>
                <c:pt idx="541">
                  <c:v>0</c:v>
                </c:pt>
                <c:pt idx="542">
                  <c:v>16940</c:v>
                </c:pt>
                <c:pt idx="543">
                  <c:v>19138</c:v>
                </c:pt>
                <c:pt idx="544">
                  <c:v>34300</c:v>
                </c:pt>
                <c:pt idx="545">
                  <c:v>0</c:v>
                </c:pt>
                <c:pt idx="546">
                  <c:v>0</c:v>
                </c:pt>
                <c:pt idx="547">
                  <c:v>0</c:v>
                </c:pt>
                <c:pt idx="548">
                  <c:v>0</c:v>
                </c:pt>
                <c:pt idx="549">
                  <c:v>18100</c:v>
                </c:pt>
                <c:pt idx="550">
                  <c:v>34300</c:v>
                </c:pt>
                <c:pt idx="551">
                  <c:v>0</c:v>
                </c:pt>
                <c:pt idx="552">
                  <c:v>0</c:v>
                </c:pt>
                <c:pt idx="553">
                  <c:v>0</c:v>
                </c:pt>
                <c:pt idx="554">
                  <c:v>0</c:v>
                </c:pt>
                <c:pt idx="555">
                  <c:v>5700</c:v>
                </c:pt>
                <c:pt idx="556">
                  <c:v>24660</c:v>
                </c:pt>
                <c:pt idx="557">
                  <c:v>0</c:v>
                </c:pt>
                <c:pt idx="558">
                  <c:v>0</c:v>
                </c:pt>
                <c:pt idx="559">
                  <c:v>18100</c:v>
                </c:pt>
                <c:pt idx="560">
                  <c:v>25308</c:v>
                </c:pt>
                <c:pt idx="561">
                  <c:v>58117.5</c:v>
                </c:pt>
                <c:pt idx="562">
                  <c:v>0</c:v>
                </c:pt>
                <c:pt idx="563">
                  <c:v>0</c:v>
                </c:pt>
                <c:pt idx="564">
                  <c:v>0</c:v>
                </c:pt>
                <c:pt idx="565">
                  <c:v>24660</c:v>
                </c:pt>
                <c:pt idx="566">
                  <c:v>94500</c:v>
                </c:pt>
                <c:pt idx="567">
                  <c:v>23950.5</c:v>
                </c:pt>
                <c:pt idx="568">
                  <c:v>19138</c:v>
                </c:pt>
                <c:pt idx="569">
                  <c:v>38220</c:v>
                </c:pt>
                <c:pt idx="570">
                  <c:v>50430</c:v>
                </c:pt>
                <c:pt idx="571">
                  <c:v>31932</c:v>
                </c:pt>
                <c:pt idx="572">
                  <c:v>30620</c:v>
                </c:pt>
                <c:pt idx="573">
                  <c:v>10437</c:v>
                </c:pt>
                <c:pt idx="574">
                  <c:v>30620</c:v>
                </c:pt>
                <c:pt idx="575">
                  <c:v>33132</c:v>
                </c:pt>
                <c:pt idx="576">
                  <c:v>38505</c:v>
                </c:pt>
                <c:pt idx="577">
                  <c:v>38505</c:v>
                </c:pt>
                <c:pt idx="578">
                  <c:v>0</c:v>
                </c:pt>
                <c:pt idx="579">
                  <c:v>0</c:v>
                </c:pt>
                <c:pt idx="580">
                  <c:v>8840</c:v>
                </c:pt>
                <c:pt idx="581">
                  <c:v>0</c:v>
                </c:pt>
                <c:pt idx="582">
                  <c:v>9086</c:v>
                </c:pt>
                <c:pt idx="583">
                  <c:v>7248</c:v>
                </c:pt>
                <c:pt idx="584">
                  <c:v>45100</c:v>
                </c:pt>
                <c:pt idx="585">
                  <c:v>24980</c:v>
                </c:pt>
                <c:pt idx="586">
                  <c:v>10069.5</c:v>
                </c:pt>
                <c:pt idx="587">
                  <c:v>0</c:v>
                </c:pt>
                <c:pt idx="588">
                  <c:v>52820</c:v>
                </c:pt>
                <c:pt idx="589">
                  <c:v>54160</c:v>
                </c:pt>
                <c:pt idx="590">
                  <c:v>0</c:v>
                </c:pt>
                <c:pt idx="591">
                  <c:v>0</c:v>
                </c:pt>
                <c:pt idx="592">
                  <c:v>6852</c:v>
                </c:pt>
                <c:pt idx="593">
                  <c:v>18872</c:v>
                </c:pt>
                <c:pt idx="594">
                  <c:v>23475</c:v>
                </c:pt>
                <c:pt idx="595">
                  <c:v>24980</c:v>
                </c:pt>
                <c:pt idx="596">
                  <c:v>0</c:v>
                </c:pt>
                <c:pt idx="597">
                  <c:v>12156</c:v>
                </c:pt>
                <c:pt idx="598">
                  <c:v>59962.5</c:v>
                </c:pt>
                <c:pt idx="599">
                  <c:v>0</c:v>
                </c:pt>
                <c:pt idx="600">
                  <c:v>8330</c:v>
                </c:pt>
                <c:pt idx="601">
                  <c:v>7248</c:v>
                </c:pt>
                <c:pt idx="602">
                  <c:v>9900</c:v>
                </c:pt>
                <c:pt idx="603">
                  <c:v>4920</c:v>
                </c:pt>
                <c:pt idx="604">
                  <c:v>0</c:v>
                </c:pt>
                <c:pt idx="605">
                  <c:v>12156</c:v>
                </c:pt>
                <c:pt idx="606">
                  <c:v>0</c:v>
                </c:pt>
                <c:pt idx="607">
                  <c:v>23475</c:v>
                </c:pt>
                <c:pt idx="608">
                  <c:v>0</c:v>
                </c:pt>
                <c:pt idx="609">
                  <c:v>8330</c:v>
                </c:pt>
                <c:pt idx="610">
                  <c:v>4920</c:v>
                </c:pt>
                <c:pt idx="611">
                  <c:v>21240</c:v>
                </c:pt>
                <c:pt idx="612">
                  <c:v>51580</c:v>
                </c:pt>
                <c:pt idx="613">
                  <c:v>34860</c:v>
                </c:pt>
                <c:pt idx="614">
                  <c:v>20972</c:v>
                </c:pt>
                <c:pt idx="615">
                  <c:v>1960</c:v>
                </c:pt>
                <c:pt idx="616">
                  <c:v>2051</c:v>
                </c:pt>
                <c:pt idx="617">
                  <c:v>20972</c:v>
                </c:pt>
                <c:pt idx="618">
                  <c:v>4170</c:v>
                </c:pt>
                <c:pt idx="619">
                  <c:v>48560</c:v>
                </c:pt>
                <c:pt idx="620">
                  <c:v>26505</c:v>
                </c:pt>
                <c:pt idx="621">
                  <c:v>16716</c:v>
                </c:pt>
                <c:pt idx="622">
                  <c:v>1960</c:v>
                </c:pt>
                <c:pt idx="623">
                  <c:v>16716</c:v>
                </c:pt>
                <c:pt idx="624">
                  <c:v>24180</c:v>
                </c:pt>
                <c:pt idx="625">
                  <c:v>0</c:v>
                </c:pt>
                <c:pt idx="626">
                  <c:v>0</c:v>
                </c:pt>
                <c:pt idx="627">
                  <c:v>0</c:v>
                </c:pt>
                <c:pt idx="628">
                  <c:v>0</c:v>
                </c:pt>
                <c:pt idx="629">
                  <c:v>22695</c:v>
                </c:pt>
                <c:pt idx="630">
                  <c:v>34500</c:v>
                </c:pt>
                <c:pt idx="631">
                  <c:v>0</c:v>
                </c:pt>
                <c:pt idx="632">
                  <c:v>0</c:v>
                </c:pt>
                <c:pt idx="633">
                  <c:v>0</c:v>
                </c:pt>
                <c:pt idx="634">
                  <c:v>70000</c:v>
                </c:pt>
                <c:pt idx="635">
                  <c:v>2716</c:v>
                </c:pt>
                <c:pt idx="636">
                  <c:v>12089</c:v>
                </c:pt>
                <c:pt idx="637">
                  <c:v>34500</c:v>
                </c:pt>
                <c:pt idx="638">
                  <c:v>5200</c:v>
                </c:pt>
                <c:pt idx="639">
                  <c:v>37050</c:v>
                </c:pt>
                <c:pt idx="640">
                  <c:v>26145</c:v>
                </c:pt>
                <c:pt idx="641">
                  <c:v>34968</c:v>
                </c:pt>
                <c:pt idx="642">
                  <c:v>12117</c:v>
                </c:pt>
                <c:pt idx="643">
                  <c:v>0</c:v>
                </c:pt>
                <c:pt idx="644">
                  <c:v>26664</c:v>
                </c:pt>
                <c:pt idx="645">
                  <c:v>0</c:v>
                </c:pt>
                <c:pt idx="646">
                  <c:v>0</c:v>
                </c:pt>
                <c:pt idx="647">
                  <c:v>0</c:v>
                </c:pt>
                <c:pt idx="648">
                  <c:v>12120</c:v>
                </c:pt>
                <c:pt idx="649">
                  <c:v>0</c:v>
                </c:pt>
                <c:pt idx="650">
                  <c:v>80700</c:v>
                </c:pt>
                <c:pt idx="651">
                  <c:v>0</c:v>
                </c:pt>
                <c:pt idx="652">
                  <c:v>20321</c:v>
                </c:pt>
                <c:pt idx="653">
                  <c:v>0</c:v>
                </c:pt>
                <c:pt idx="654">
                  <c:v>80700</c:v>
                </c:pt>
                <c:pt idx="655">
                  <c:v>0</c:v>
                </c:pt>
                <c:pt idx="656">
                  <c:v>0</c:v>
                </c:pt>
                <c:pt idx="657">
                  <c:v>0</c:v>
                </c:pt>
                <c:pt idx="658">
                  <c:v>0</c:v>
                </c:pt>
                <c:pt idx="659">
                  <c:v>0</c:v>
                </c:pt>
                <c:pt idx="660">
                  <c:v>29700</c:v>
                </c:pt>
                <c:pt idx="661">
                  <c:v>26145</c:v>
                </c:pt>
                <c:pt idx="662">
                  <c:v>34968</c:v>
                </c:pt>
                <c:pt idx="663">
                  <c:v>12117</c:v>
                </c:pt>
                <c:pt idx="664">
                  <c:v>12089</c:v>
                </c:pt>
                <c:pt idx="665">
                  <c:v>28050</c:v>
                </c:pt>
                <c:pt idx="666">
                  <c:v>0</c:v>
                </c:pt>
                <c:pt idx="667">
                  <c:v>0</c:v>
                </c:pt>
                <c:pt idx="668">
                  <c:v>0</c:v>
                </c:pt>
                <c:pt idx="669">
                  <c:v>0</c:v>
                </c:pt>
                <c:pt idx="670">
                  <c:v>23160</c:v>
                </c:pt>
                <c:pt idx="671">
                  <c:v>24210</c:v>
                </c:pt>
                <c:pt idx="672">
                  <c:v>17745</c:v>
                </c:pt>
                <c:pt idx="673">
                  <c:v>0</c:v>
                </c:pt>
                <c:pt idx="674">
                  <c:v>38385</c:v>
                </c:pt>
                <c:pt idx="675">
                  <c:v>5340</c:v>
                </c:pt>
                <c:pt idx="676">
                  <c:v>0</c:v>
                </c:pt>
                <c:pt idx="677">
                  <c:v>17625</c:v>
                </c:pt>
                <c:pt idx="678">
                  <c:v>0</c:v>
                </c:pt>
                <c:pt idx="679">
                  <c:v>0</c:v>
                </c:pt>
                <c:pt idx="680">
                  <c:v>10968</c:v>
                </c:pt>
                <c:pt idx="681">
                  <c:v>5860</c:v>
                </c:pt>
                <c:pt idx="682">
                  <c:v>6000</c:v>
                </c:pt>
                <c:pt idx="683">
                  <c:v>42390</c:v>
                </c:pt>
                <c:pt idx="684">
                  <c:v>82875</c:v>
                </c:pt>
                <c:pt idx="685">
                  <c:v>0</c:v>
                </c:pt>
                <c:pt idx="686">
                  <c:v>0</c:v>
                </c:pt>
                <c:pt idx="687">
                  <c:v>10968</c:v>
                </c:pt>
                <c:pt idx="688">
                  <c:v>17310</c:v>
                </c:pt>
                <c:pt idx="689">
                  <c:v>7380</c:v>
                </c:pt>
                <c:pt idx="690">
                  <c:v>5340</c:v>
                </c:pt>
                <c:pt idx="691">
                  <c:v>17625</c:v>
                </c:pt>
                <c:pt idx="692">
                  <c:v>0</c:v>
                </c:pt>
                <c:pt idx="693">
                  <c:v>69000</c:v>
                </c:pt>
                <c:pt idx="694">
                  <c:v>5860</c:v>
                </c:pt>
                <c:pt idx="695">
                  <c:v>0</c:v>
                </c:pt>
                <c:pt idx="696">
                  <c:v>0</c:v>
                </c:pt>
                <c:pt idx="697">
                  <c:v>9576</c:v>
                </c:pt>
                <c:pt idx="698">
                  <c:v>5061</c:v>
                </c:pt>
                <c:pt idx="699">
                  <c:v>21672</c:v>
                </c:pt>
              </c:numCache>
            </c:numRef>
          </c:yVal>
          <c:bubbleSize>
            <c:numRef>
              <c:f>Sheet1!$G$4:$G$703</c:f>
              <c:numCache>
                <c:formatCode>@</c:formatCode>
                <c:ptCount val="700"/>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numCache>
            </c:numRef>
          </c:bubbleSize>
          <c:bubble3D val="0"/>
          <c:extLst>
            <c:ext xmlns:c16="http://schemas.microsoft.com/office/drawing/2014/chart" uri="{C3380CC4-5D6E-409C-BE32-E72D297353CC}">
              <c16:uniqueId val="{00000002-190B-4CCD-A5AC-D8A18D1CEC3F}"/>
            </c:ext>
          </c:extLst>
        </c:ser>
        <c:ser>
          <c:idx val="3"/>
          <c:order val="3"/>
          <c:spPr>
            <a:solidFill>
              <a:schemeClr val="accent4">
                <a:alpha val="75000"/>
              </a:schemeClr>
            </a:solidFill>
            <a:ln w="25400">
              <a:noFill/>
            </a:ln>
            <a:effectLst/>
          </c:spPr>
          <c:invertIfNegative val="0"/>
          <c:xVal>
            <c:strRef>
              <c:f>Sheet1!$A$4:$A$703</c:f>
              <c:strCache>
                <c:ptCount val="700"/>
                <c:pt idx="0">
                  <c:v>Government-Canada-Carretera</c:v>
                </c:pt>
                <c:pt idx="1">
                  <c:v>Government-Germany-Carretera</c:v>
                </c:pt>
                <c:pt idx="2">
                  <c:v>Midmarket-France-Carretera</c:v>
                </c:pt>
                <c:pt idx="3">
                  <c:v>Midmarket-Germany-Carretera</c:v>
                </c:pt>
                <c:pt idx="4">
                  <c:v>Midmarket-Mexico-Carretera</c:v>
                </c:pt>
                <c:pt idx="5">
                  <c:v>Government-Germany-Carretera</c:v>
                </c:pt>
                <c:pt idx="6">
                  <c:v>Midmarket-Germany-Montana</c:v>
                </c:pt>
                <c:pt idx="7">
                  <c:v>Channel Partners-Canada-Montana</c:v>
                </c:pt>
                <c:pt idx="8">
                  <c:v>Government-France-Montana</c:v>
                </c:pt>
                <c:pt idx="9">
                  <c:v>Channel Partners-Germany-Montana</c:v>
                </c:pt>
                <c:pt idx="10">
                  <c:v>Midmarket-Mexico-Montana</c:v>
                </c:pt>
                <c:pt idx="11">
                  <c:v>Enterprise-Canada-Montana</c:v>
                </c:pt>
                <c:pt idx="12">
                  <c:v>Small Business-Mexico-Montana</c:v>
                </c:pt>
                <c:pt idx="13">
                  <c:v>Government-Germany-Montana</c:v>
                </c:pt>
                <c:pt idx="14">
                  <c:v>Enterprise-Canada-Montana</c:v>
                </c:pt>
                <c:pt idx="15">
                  <c:v>Midmarket-United States of America-Montana</c:v>
                </c:pt>
                <c:pt idx="16">
                  <c:v>Government-Canada-Paseo</c:v>
                </c:pt>
                <c:pt idx="17">
                  <c:v>Midmarket-Mexico-Paseo</c:v>
                </c:pt>
                <c:pt idx="18">
                  <c:v>Channel Partners-Canada-Paseo</c:v>
                </c:pt>
                <c:pt idx="19">
                  <c:v>Government-Germany-Paseo</c:v>
                </c:pt>
                <c:pt idx="20">
                  <c:v>Channel Partners-Germany-Paseo</c:v>
                </c:pt>
                <c:pt idx="21">
                  <c:v>Government-Mexico-Paseo</c:v>
                </c:pt>
                <c:pt idx="22">
                  <c:v>Midmarket-France-Paseo</c:v>
                </c:pt>
                <c:pt idx="23">
                  <c:v>Small Business-Mexico-Paseo</c:v>
                </c:pt>
                <c:pt idx="24">
                  <c:v>Midmarket-Mexico-Paseo</c:v>
                </c:pt>
                <c:pt idx="25">
                  <c:v>Government-United States of America-Paseo</c:v>
                </c:pt>
                <c:pt idx="26">
                  <c:v>Government-Canada-Paseo</c:v>
                </c:pt>
                <c:pt idx="27">
                  <c:v>Channel Partners-United States of America-Paseo</c:v>
                </c:pt>
                <c:pt idx="28">
                  <c:v>Midmarket-Canada-Paseo</c:v>
                </c:pt>
                <c:pt idx="29">
                  <c:v>Government-Canada-Paseo</c:v>
                </c:pt>
                <c:pt idx="30">
                  <c:v>Government-Germany-Paseo</c:v>
                </c:pt>
                <c:pt idx="31">
                  <c:v>Government-Mexico-Velo</c:v>
                </c:pt>
                <c:pt idx="32">
                  <c:v>Enterprise-France-Velo</c:v>
                </c:pt>
                <c:pt idx="33">
                  <c:v>Channel Partners-Germany-Velo</c:v>
                </c:pt>
                <c:pt idx="34">
                  <c:v>Government-Germany-Velo</c:v>
                </c:pt>
                <c:pt idx="35">
                  <c:v>Channel Partners-Germany-Velo</c:v>
                </c:pt>
                <c:pt idx="36">
                  <c:v>Enterprise-United States of America-Velo</c:v>
                </c:pt>
                <c:pt idx="37">
                  <c:v>Enterprise-Canada-Velo</c:v>
                </c:pt>
                <c:pt idx="38">
                  <c:v>Small Business-Canada-VTT</c:v>
                </c:pt>
                <c:pt idx="39">
                  <c:v>Channel Partners-Germany-VTT</c:v>
                </c:pt>
                <c:pt idx="40">
                  <c:v>Midmarket-France-VTT</c:v>
                </c:pt>
                <c:pt idx="41">
                  <c:v>Midmarket-Germany-VTT</c:v>
                </c:pt>
                <c:pt idx="42">
                  <c:v>Government-France-VTT</c:v>
                </c:pt>
                <c:pt idx="43">
                  <c:v>Small Business-France-VTT</c:v>
                </c:pt>
                <c:pt idx="44">
                  <c:v>Government-Canada-VTT</c:v>
                </c:pt>
                <c:pt idx="45">
                  <c:v>Government-France-Amarilla</c:v>
                </c:pt>
                <c:pt idx="46">
                  <c:v>Channel Partners-United States of America-Amarilla</c:v>
                </c:pt>
                <c:pt idx="47">
                  <c:v>Enterprise-Germany-Amarilla</c:v>
                </c:pt>
                <c:pt idx="48">
                  <c:v>Government-France-Amarilla</c:v>
                </c:pt>
                <c:pt idx="49">
                  <c:v>Government-Germany-Amarilla</c:v>
                </c:pt>
                <c:pt idx="50">
                  <c:v>Channel Partners-United States of America-Amarilla</c:v>
                </c:pt>
                <c:pt idx="51">
                  <c:v>Government-United States of America-Amarilla</c:v>
                </c:pt>
                <c:pt idx="52">
                  <c:v>Midmarket-United States of America-Amarilla</c:v>
                </c:pt>
                <c:pt idx="53">
                  <c:v>Government-France-Paseo</c:v>
                </c:pt>
                <c:pt idx="54">
                  <c:v>Midmarket-France-Paseo</c:v>
                </c:pt>
                <c:pt idx="55">
                  <c:v>Government-France-Paseo</c:v>
                </c:pt>
                <c:pt idx="56">
                  <c:v>Government-France-Velo</c:v>
                </c:pt>
                <c:pt idx="57">
                  <c:v>Government-Canada-VTT</c:v>
                </c:pt>
                <c:pt idx="58">
                  <c:v>Channel Partners-United States of America-Carretera</c:v>
                </c:pt>
                <c:pt idx="59">
                  <c:v>Government-Mexico-Carretera</c:v>
                </c:pt>
                <c:pt idx="60">
                  <c:v>Government-United States of America-Carretera</c:v>
                </c:pt>
                <c:pt idx="61">
                  <c:v>Channel Partners-Canada-Carretera</c:v>
                </c:pt>
                <c:pt idx="62">
                  <c:v>Enterprise-United States of America-Carretera</c:v>
                </c:pt>
                <c:pt idx="63">
                  <c:v>Channel Partners-France-Carretera</c:v>
                </c:pt>
                <c:pt idx="64">
                  <c:v>Channel Partners-Germany-Carretera</c:v>
                </c:pt>
                <c:pt idx="65">
                  <c:v>Small Business-Mexico-Carretera</c:v>
                </c:pt>
                <c:pt idx="66">
                  <c:v>Government-Mexico-Carretera</c:v>
                </c:pt>
                <c:pt idx="67">
                  <c:v>Government-France-Carretera</c:v>
                </c:pt>
                <c:pt idx="68">
                  <c:v>Midmarket-Mexico-Montana</c:v>
                </c:pt>
                <c:pt idx="69">
                  <c:v>Small Business-United States of America-Montana</c:v>
                </c:pt>
                <c:pt idx="70">
                  <c:v>Government-France-Montana</c:v>
                </c:pt>
                <c:pt idx="71">
                  <c:v>Government-Canada-Montana</c:v>
                </c:pt>
                <c:pt idx="72">
                  <c:v>Small Business-United States of America-Montana</c:v>
                </c:pt>
                <c:pt idx="73">
                  <c:v>Enterprise-United States of America-Montana</c:v>
                </c:pt>
                <c:pt idx="74">
                  <c:v>Midmarket-United States of America-Paseo</c:v>
                </c:pt>
                <c:pt idx="75">
                  <c:v>Government-United States of America-Paseo</c:v>
                </c:pt>
                <c:pt idx="76">
                  <c:v>Enterprise-United States of America-Paseo</c:v>
                </c:pt>
                <c:pt idx="77">
                  <c:v>Enterprise-France-Paseo</c:v>
                </c:pt>
                <c:pt idx="78">
                  <c:v>Enterprise-Mexico-Paseo</c:v>
                </c:pt>
                <c:pt idx="79">
                  <c:v>Midmarket-Germany-Paseo</c:v>
                </c:pt>
                <c:pt idx="80">
                  <c:v>Channel Partners-Germany-Paseo</c:v>
                </c:pt>
                <c:pt idx="81">
                  <c:v>Small Business-United States of America-Paseo</c:v>
                </c:pt>
                <c:pt idx="82">
                  <c:v>Government-France-Paseo</c:v>
                </c:pt>
                <c:pt idx="83">
                  <c:v>Government-France-Velo</c:v>
                </c:pt>
                <c:pt idx="84">
                  <c:v>Government-Mexico-Velo</c:v>
                </c:pt>
                <c:pt idx="85">
                  <c:v>Enterprise-Canada-Velo</c:v>
                </c:pt>
                <c:pt idx="86">
                  <c:v>Enterprise-United States of America-Velo</c:v>
                </c:pt>
                <c:pt idx="87">
                  <c:v>Government-Canada-Velo</c:v>
                </c:pt>
                <c:pt idx="88">
                  <c:v>Government-Germany-VTT</c:v>
                </c:pt>
                <c:pt idx="89">
                  <c:v>Government-Canada-VTT</c:v>
                </c:pt>
                <c:pt idx="90">
                  <c:v>Enterprise-United States of America-VTT</c:v>
                </c:pt>
                <c:pt idx="91">
                  <c:v>Enterprise-France-VTT</c:v>
                </c:pt>
                <c:pt idx="92">
                  <c:v>Small Business-Germany-VTT</c:v>
                </c:pt>
                <c:pt idx="93">
                  <c:v>Small Business-Mexico-VTT</c:v>
                </c:pt>
                <c:pt idx="94">
                  <c:v>Government-Mexico-VTT</c:v>
                </c:pt>
                <c:pt idx="95">
                  <c:v>Enterprise-France-VTT</c:v>
                </c:pt>
                <c:pt idx="96">
                  <c:v>Channel Partners-United States of America-Amarilla</c:v>
                </c:pt>
                <c:pt idx="97">
                  <c:v>Midmarket-France-Amarilla</c:v>
                </c:pt>
                <c:pt idx="98">
                  <c:v>Enterprise-Canada-Carretera</c:v>
                </c:pt>
                <c:pt idx="99">
                  <c:v>Channel Partners-Canada-Carretera</c:v>
                </c:pt>
                <c:pt idx="100">
                  <c:v>Small Business-Germany-Carretera</c:v>
                </c:pt>
                <c:pt idx="101">
                  <c:v>Government-France-Carretera</c:v>
                </c:pt>
                <c:pt idx="102">
                  <c:v>Government-Canada-Carretera</c:v>
                </c:pt>
                <c:pt idx="103">
                  <c:v>Channel Partners-United States of America-Montana</c:v>
                </c:pt>
                <c:pt idx="104">
                  <c:v>Government-United States of America-Montana</c:v>
                </c:pt>
                <c:pt idx="105">
                  <c:v>Channel Partners-Mexico-Montana</c:v>
                </c:pt>
                <c:pt idx="106">
                  <c:v>Enterprise-Mexico-Montana</c:v>
                </c:pt>
                <c:pt idx="107">
                  <c:v>Midmarket-Canada-Paseo</c:v>
                </c:pt>
                <c:pt idx="108">
                  <c:v>Small Business-France-Paseo</c:v>
                </c:pt>
                <c:pt idx="109">
                  <c:v>Small Business-Germany-Paseo</c:v>
                </c:pt>
                <c:pt idx="110">
                  <c:v>Channel Partners-United States of America-Paseo</c:v>
                </c:pt>
                <c:pt idx="111">
                  <c:v>Enterprise-Mexico-Paseo</c:v>
                </c:pt>
                <c:pt idx="112">
                  <c:v>Channel Partners-Canada-Paseo</c:v>
                </c:pt>
                <c:pt idx="113">
                  <c:v>Enterprise-Germany-Paseo</c:v>
                </c:pt>
                <c:pt idx="114">
                  <c:v>Enterprise-Mexico-Paseo</c:v>
                </c:pt>
                <c:pt idx="115">
                  <c:v>Channel Partners-France-Paseo</c:v>
                </c:pt>
                <c:pt idx="116">
                  <c:v>Small Business-Canada-Paseo</c:v>
                </c:pt>
                <c:pt idx="117">
                  <c:v>Government-Canada-Paseo</c:v>
                </c:pt>
                <c:pt idx="118">
                  <c:v>Enterprise-Canada-Paseo</c:v>
                </c:pt>
                <c:pt idx="119">
                  <c:v>Midmarket-United States of America-Paseo</c:v>
                </c:pt>
                <c:pt idx="120">
                  <c:v>Government-United States of America-Paseo</c:v>
                </c:pt>
                <c:pt idx="121">
                  <c:v>Channel Partners-France-Paseo</c:v>
                </c:pt>
                <c:pt idx="122">
                  <c:v>Channel Partners-Mexico-Paseo</c:v>
                </c:pt>
                <c:pt idx="123">
                  <c:v>Government-United States of America-Velo</c:v>
                </c:pt>
                <c:pt idx="124">
                  <c:v>Government-Germany-Velo</c:v>
                </c:pt>
                <c:pt idx="125">
                  <c:v>Government-Germany-Velo</c:v>
                </c:pt>
                <c:pt idx="126">
                  <c:v>Enterprise-Germany-Velo</c:v>
                </c:pt>
                <c:pt idx="127">
                  <c:v>Enterprise-Mexico-Velo</c:v>
                </c:pt>
                <c:pt idx="128">
                  <c:v>Channel Partners-France-Velo</c:v>
                </c:pt>
                <c:pt idx="129">
                  <c:v>Government-Mexico-Velo</c:v>
                </c:pt>
                <c:pt idx="130">
                  <c:v>Channel Partners-Mexico-Velo</c:v>
                </c:pt>
                <c:pt idx="131">
                  <c:v>Enterprise-Mexico-VTT</c:v>
                </c:pt>
                <c:pt idx="132">
                  <c:v>Small Business-Germany-VTT</c:v>
                </c:pt>
                <c:pt idx="133">
                  <c:v>Government-Germany-VTT</c:v>
                </c:pt>
                <c:pt idx="134">
                  <c:v>Enterprise-Canada-VTT</c:v>
                </c:pt>
                <c:pt idx="135">
                  <c:v>Government-United States of America-VTT</c:v>
                </c:pt>
                <c:pt idx="136">
                  <c:v>Government-Mexico-VTT</c:v>
                </c:pt>
                <c:pt idx="137">
                  <c:v>Small Business-Germany-Amarilla</c:v>
                </c:pt>
                <c:pt idx="138">
                  <c:v>Small Business-Mexico-Amarilla</c:v>
                </c:pt>
                <c:pt idx="139">
                  <c:v>Enterprise-Germany-Amarilla</c:v>
                </c:pt>
                <c:pt idx="140">
                  <c:v>Government-Germany-Amarilla</c:v>
                </c:pt>
                <c:pt idx="141">
                  <c:v>Government-United States of America-Amarilla</c:v>
                </c:pt>
                <c:pt idx="142">
                  <c:v>Government-France-Amarilla</c:v>
                </c:pt>
                <c:pt idx="143">
                  <c:v>Small Business-Canada-Amarilla</c:v>
                </c:pt>
                <c:pt idx="144">
                  <c:v>Enterprise-France-Carretera</c:v>
                </c:pt>
                <c:pt idx="145">
                  <c:v>Government-Germany-Carretera</c:v>
                </c:pt>
                <c:pt idx="146">
                  <c:v>Small Business-Germany-Carretera</c:v>
                </c:pt>
                <c:pt idx="147">
                  <c:v>Channel Partners-United States of America-Carretera</c:v>
                </c:pt>
                <c:pt idx="148">
                  <c:v>Channel Partners-Canada-Carretera</c:v>
                </c:pt>
                <c:pt idx="149">
                  <c:v>Government-Germany-Montana</c:v>
                </c:pt>
                <c:pt idx="150">
                  <c:v>Channel Partners-France-Montana</c:v>
                </c:pt>
                <c:pt idx="151">
                  <c:v>Government-France-Montana</c:v>
                </c:pt>
                <c:pt idx="152">
                  <c:v>Government-Germany-Montana</c:v>
                </c:pt>
                <c:pt idx="153">
                  <c:v>Enterprise-France-Montana</c:v>
                </c:pt>
                <c:pt idx="154">
                  <c:v>Enterprise-Germany-Montana</c:v>
                </c:pt>
                <c:pt idx="155">
                  <c:v>Small Business-France-Paseo</c:v>
                </c:pt>
                <c:pt idx="156">
                  <c:v>Enterprise-Canada-Paseo</c:v>
                </c:pt>
                <c:pt idx="157">
                  <c:v>Channel Partners-France-Paseo</c:v>
                </c:pt>
                <c:pt idx="158">
                  <c:v>Small Business-Germany-Paseo</c:v>
                </c:pt>
                <c:pt idx="159">
                  <c:v>Enterprise-Germany-Paseo</c:v>
                </c:pt>
                <c:pt idx="160">
                  <c:v>Channel Partners-United States of America-Paseo</c:v>
                </c:pt>
                <c:pt idx="161">
                  <c:v>Enterprise-Canada-Paseo</c:v>
                </c:pt>
                <c:pt idx="162">
                  <c:v>Midmarket-Germany-Paseo</c:v>
                </c:pt>
                <c:pt idx="163">
                  <c:v>Enterprise-France-Paseo</c:v>
                </c:pt>
                <c:pt idx="164">
                  <c:v>Enterprise-Germany-Paseo</c:v>
                </c:pt>
                <c:pt idx="165">
                  <c:v>Enterprise-Canada-Velo</c:v>
                </c:pt>
                <c:pt idx="166">
                  <c:v>Small Business-United States of America-VTT</c:v>
                </c:pt>
                <c:pt idx="167">
                  <c:v>Channel Partners-Mexico-VTT</c:v>
                </c:pt>
                <c:pt idx="168">
                  <c:v>Enterprise-Germany-VTT</c:v>
                </c:pt>
                <c:pt idx="169">
                  <c:v>Small Business-Canada-VTT</c:v>
                </c:pt>
                <c:pt idx="170">
                  <c:v>Government-Mexico-VTT</c:v>
                </c:pt>
                <c:pt idx="171">
                  <c:v>Midmarket-Germany-VTT</c:v>
                </c:pt>
                <c:pt idx="172">
                  <c:v>Government-Canada-Carretera</c:v>
                </c:pt>
                <c:pt idx="173">
                  <c:v>Government-Mexico-Paseo</c:v>
                </c:pt>
                <c:pt idx="174">
                  <c:v>Government-Canada-Velo</c:v>
                </c:pt>
                <c:pt idx="175">
                  <c:v>Channel Partners-Germany-VTT</c:v>
                </c:pt>
                <c:pt idx="176">
                  <c:v>Midmarket-Mexico-Montana</c:v>
                </c:pt>
                <c:pt idx="177">
                  <c:v>Midmarket-Mexico-Paseo</c:v>
                </c:pt>
                <c:pt idx="178">
                  <c:v>Midmarket-France-Paseo</c:v>
                </c:pt>
                <c:pt idx="179">
                  <c:v>Government-United States of America-Velo</c:v>
                </c:pt>
                <c:pt idx="180">
                  <c:v>Government-Canada-Carretera</c:v>
                </c:pt>
                <c:pt idx="181">
                  <c:v>Small Business-Germany-Carretera</c:v>
                </c:pt>
                <c:pt idx="182">
                  <c:v>Government-United States of America-Carretera</c:v>
                </c:pt>
                <c:pt idx="183">
                  <c:v>Midmarket-Canada-Montana</c:v>
                </c:pt>
                <c:pt idx="184">
                  <c:v>Small Business-Germany-Montana</c:v>
                </c:pt>
                <c:pt idx="185">
                  <c:v>Government-Canada-Montana</c:v>
                </c:pt>
                <c:pt idx="186">
                  <c:v>Small Business-Germany-Montana</c:v>
                </c:pt>
                <c:pt idx="187">
                  <c:v>Enterprise-Mexico-Montana</c:v>
                </c:pt>
                <c:pt idx="188">
                  <c:v>Government-Canada-Paseo</c:v>
                </c:pt>
                <c:pt idx="189">
                  <c:v>Enterprise-Germany-Paseo</c:v>
                </c:pt>
                <c:pt idx="190">
                  <c:v>Small Business-Germany-Paseo</c:v>
                </c:pt>
                <c:pt idx="191">
                  <c:v>Small Business-United States of America-Paseo</c:v>
                </c:pt>
                <c:pt idx="192">
                  <c:v>Government-United States of America-Paseo</c:v>
                </c:pt>
                <c:pt idx="193">
                  <c:v>Enterprise-France-Paseo</c:v>
                </c:pt>
                <c:pt idx="194">
                  <c:v>Midmarket-Canada-Paseo</c:v>
                </c:pt>
                <c:pt idx="195">
                  <c:v>Government-Canada-Paseo</c:v>
                </c:pt>
                <c:pt idx="196">
                  <c:v>Government-United States of America-Paseo</c:v>
                </c:pt>
                <c:pt idx="197">
                  <c:v>Midmarket-United States of America-Paseo</c:v>
                </c:pt>
                <c:pt idx="198">
                  <c:v>Midmarket-Mexico-Paseo</c:v>
                </c:pt>
                <c:pt idx="199">
                  <c:v>Government-United States of America-Paseo</c:v>
                </c:pt>
                <c:pt idx="200">
                  <c:v>Enterprise-Mexico-Paseo</c:v>
                </c:pt>
                <c:pt idx="201">
                  <c:v>Channel Partners-United States of America-Velo</c:v>
                </c:pt>
                <c:pt idx="202">
                  <c:v>Government-Canada-Velo</c:v>
                </c:pt>
                <c:pt idx="203">
                  <c:v>Government-France-Velo</c:v>
                </c:pt>
                <c:pt idx="204">
                  <c:v>Channel Partners-France-VTT</c:v>
                </c:pt>
                <c:pt idx="205">
                  <c:v>Government-United States of America-VTT</c:v>
                </c:pt>
                <c:pt idx="206">
                  <c:v>Government-France-VTT</c:v>
                </c:pt>
                <c:pt idx="207">
                  <c:v>Midmarket-Mexico-VTT</c:v>
                </c:pt>
                <c:pt idx="208">
                  <c:v>Government-Mexico-Amarilla</c:v>
                </c:pt>
                <c:pt idx="209">
                  <c:v>Enterprise-Mexico-Amarilla</c:v>
                </c:pt>
                <c:pt idx="210">
                  <c:v>Government-Germany-Amarilla</c:v>
                </c:pt>
                <c:pt idx="211">
                  <c:v>Midmarket-United States of America-Amarilla</c:v>
                </c:pt>
                <c:pt idx="212">
                  <c:v>Government-Canada-Amarilla</c:v>
                </c:pt>
                <c:pt idx="213">
                  <c:v>Government-Germany-Montana</c:v>
                </c:pt>
                <c:pt idx="214">
                  <c:v>Government-Germany-Paseo</c:v>
                </c:pt>
                <c:pt idx="215">
                  <c:v>Government-Canada-Paseo</c:v>
                </c:pt>
                <c:pt idx="216">
                  <c:v>Government-Mexico-Paseo</c:v>
                </c:pt>
                <c:pt idx="217">
                  <c:v>Channel Partners-Canada-Paseo</c:v>
                </c:pt>
                <c:pt idx="218">
                  <c:v>Channel Partners-Canada-Velo</c:v>
                </c:pt>
                <c:pt idx="219">
                  <c:v>Government-Mexico-VTT</c:v>
                </c:pt>
                <c:pt idx="220">
                  <c:v>Government-Mexico-Amarilla</c:v>
                </c:pt>
                <c:pt idx="221">
                  <c:v>Channel Partners-Mexico-Amarilla</c:v>
                </c:pt>
                <c:pt idx="222">
                  <c:v>Government-Germany-Amarilla</c:v>
                </c:pt>
                <c:pt idx="223">
                  <c:v>Channel Partners-France-Carretera</c:v>
                </c:pt>
                <c:pt idx="224">
                  <c:v>Channel Partners-Germany-Carretera</c:v>
                </c:pt>
                <c:pt idx="225">
                  <c:v>Government-France-Carretera</c:v>
                </c:pt>
                <c:pt idx="226">
                  <c:v>Small Business-United States of America-Carretera</c:v>
                </c:pt>
                <c:pt idx="227">
                  <c:v>Government-Germany-Carretera</c:v>
                </c:pt>
                <c:pt idx="228">
                  <c:v>Midmarket-Mexico-Carretera</c:v>
                </c:pt>
                <c:pt idx="229">
                  <c:v>Government-United States of America-Carretera</c:v>
                </c:pt>
                <c:pt idx="230">
                  <c:v>Government-France-Carretera</c:v>
                </c:pt>
                <c:pt idx="231">
                  <c:v>Government-France-Montana</c:v>
                </c:pt>
                <c:pt idx="232">
                  <c:v>Enterprise-United States of America-Montana</c:v>
                </c:pt>
                <c:pt idx="233">
                  <c:v>Government-Mexico-Montana</c:v>
                </c:pt>
                <c:pt idx="234">
                  <c:v>Channel Partners-Germany-Montana</c:v>
                </c:pt>
                <c:pt idx="235">
                  <c:v>Small Business-Mexico-Montana</c:v>
                </c:pt>
                <c:pt idx="236">
                  <c:v>Government-France-Paseo</c:v>
                </c:pt>
                <c:pt idx="237">
                  <c:v>Enterprise-United States of America-Paseo</c:v>
                </c:pt>
                <c:pt idx="238">
                  <c:v>Enterprise-France-Paseo</c:v>
                </c:pt>
                <c:pt idx="239">
                  <c:v>Small Business-Mexico-Paseo</c:v>
                </c:pt>
                <c:pt idx="240">
                  <c:v>Government-United States of America-Paseo</c:v>
                </c:pt>
                <c:pt idx="241">
                  <c:v>Small Business-United States of America-Paseo</c:v>
                </c:pt>
                <c:pt idx="242">
                  <c:v>Government-United States of America-Paseo</c:v>
                </c:pt>
                <c:pt idx="243">
                  <c:v>Midmarket-France-Paseo</c:v>
                </c:pt>
                <c:pt idx="244">
                  <c:v>Government-Canada-Paseo</c:v>
                </c:pt>
                <c:pt idx="245">
                  <c:v>Government-Canada-Paseo</c:v>
                </c:pt>
                <c:pt idx="246">
                  <c:v>Enterprise-United States of America-Paseo</c:v>
                </c:pt>
                <c:pt idx="247">
                  <c:v>Enterprise-France-Paseo</c:v>
                </c:pt>
                <c:pt idx="248">
                  <c:v>Government-Canada-Paseo</c:v>
                </c:pt>
                <c:pt idx="249">
                  <c:v>Government-United States of America-Paseo</c:v>
                </c:pt>
                <c:pt idx="250">
                  <c:v>Government-France-Paseo</c:v>
                </c:pt>
                <c:pt idx="251">
                  <c:v>Midmarket-Germany-Paseo</c:v>
                </c:pt>
                <c:pt idx="252">
                  <c:v>Midmarket-United States of America-Velo</c:v>
                </c:pt>
                <c:pt idx="253">
                  <c:v>Midmarket-Mexico-Velo</c:v>
                </c:pt>
                <c:pt idx="254">
                  <c:v>Enterprise-Germany-Velo</c:v>
                </c:pt>
                <c:pt idx="255">
                  <c:v>Government-United States of America-Velo</c:v>
                </c:pt>
                <c:pt idx="256">
                  <c:v>Government-United States of America-Velo</c:v>
                </c:pt>
                <c:pt idx="257">
                  <c:v>Government-France-Velo</c:v>
                </c:pt>
                <c:pt idx="258">
                  <c:v>Enterprise-United States of America-Velo</c:v>
                </c:pt>
                <c:pt idx="259">
                  <c:v>Enterprise-France-Velo</c:v>
                </c:pt>
                <c:pt idx="260">
                  <c:v>Government-France-Velo</c:v>
                </c:pt>
                <c:pt idx="261">
                  <c:v>Small Business-Germany-Velo</c:v>
                </c:pt>
                <c:pt idx="262">
                  <c:v>Government-Canada-VTT</c:v>
                </c:pt>
                <c:pt idx="263">
                  <c:v>Government-United States of America-VTT</c:v>
                </c:pt>
                <c:pt idx="264">
                  <c:v>Government-Germany-VTT</c:v>
                </c:pt>
                <c:pt idx="265">
                  <c:v>Government-United States of America-VTT</c:v>
                </c:pt>
                <c:pt idx="266">
                  <c:v>Government-United States of America-VTT</c:v>
                </c:pt>
                <c:pt idx="267">
                  <c:v>Government-France-VTT</c:v>
                </c:pt>
                <c:pt idx="268">
                  <c:v>Government-Germany-Amarilla</c:v>
                </c:pt>
                <c:pt idx="269">
                  <c:v>Government-Canada-Amarilla</c:v>
                </c:pt>
                <c:pt idx="270">
                  <c:v>Government-Canada-Amarilla</c:v>
                </c:pt>
                <c:pt idx="271">
                  <c:v>Small Business-Germany-Amarilla</c:v>
                </c:pt>
                <c:pt idx="272">
                  <c:v>Midmarket-France-Paseo</c:v>
                </c:pt>
                <c:pt idx="273">
                  <c:v>Government-United States of America-Carretera</c:v>
                </c:pt>
                <c:pt idx="274">
                  <c:v>Midmarket-Canada-Carretera</c:v>
                </c:pt>
                <c:pt idx="275">
                  <c:v>Channel Partners-Mexico-Carretera</c:v>
                </c:pt>
                <c:pt idx="276">
                  <c:v>Channel Partners-Canada-Carretera</c:v>
                </c:pt>
                <c:pt idx="277">
                  <c:v>Midmarket-United States of America-Carretera</c:v>
                </c:pt>
                <c:pt idx="278">
                  <c:v>Government-United States of America-Carretera</c:v>
                </c:pt>
                <c:pt idx="279">
                  <c:v>Enterprise-Germany-Carretera</c:v>
                </c:pt>
                <c:pt idx="280">
                  <c:v>Government-Mexico-Montana</c:v>
                </c:pt>
                <c:pt idx="281">
                  <c:v>Government-Germany-Montana</c:v>
                </c:pt>
                <c:pt idx="282">
                  <c:v>Government-France-Montana</c:v>
                </c:pt>
                <c:pt idx="283">
                  <c:v>Channel Partners-United States of America-Montana</c:v>
                </c:pt>
                <c:pt idx="284">
                  <c:v>Government-France-Paseo</c:v>
                </c:pt>
                <c:pt idx="285">
                  <c:v>Channel Partners-Canada-Paseo</c:v>
                </c:pt>
                <c:pt idx="286">
                  <c:v>Government-United States of America-Paseo</c:v>
                </c:pt>
                <c:pt idx="287">
                  <c:v>Enterprise-Canada-Velo</c:v>
                </c:pt>
                <c:pt idx="288">
                  <c:v>Enterprise-United States of America-Velo</c:v>
                </c:pt>
                <c:pt idx="289">
                  <c:v>Midmarket-Germany-Velo</c:v>
                </c:pt>
                <c:pt idx="290">
                  <c:v>Government-France-Velo</c:v>
                </c:pt>
                <c:pt idx="291">
                  <c:v>Government-Mexico-Velo</c:v>
                </c:pt>
                <c:pt idx="292">
                  <c:v>Small Business-France-Velo</c:v>
                </c:pt>
                <c:pt idx="293">
                  <c:v>Government-France-Velo</c:v>
                </c:pt>
                <c:pt idx="294">
                  <c:v>Midmarket-Canada-VTT</c:v>
                </c:pt>
                <c:pt idx="295">
                  <c:v>Government-Mexico-VTT</c:v>
                </c:pt>
                <c:pt idx="296">
                  <c:v>Small Business-France-VTT</c:v>
                </c:pt>
                <c:pt idx="297">
                  <c:v>Government-Mexico-VTT</c:v>
                </c:pt>
                <c:pt idx="298">
                  <c:v>Small Business-Canada-VTT</c:v>
                </c:pt>
                <c:pt idx="299">
                  <c:v>Enterprise-France-Amarilla</c:v>
                </c:pt>
                <c:pt idx="300">
                  <c:v>Government-Mexico-Amarilla</c:v>
                </c:pt>
                <c:pt idx="301">
                  <c:v>Government-United States of America-Amarilla</c:v>
                </c:pt>
                <c:pt idx="302">
                  <c:v>Government-France-Amarilla</c:v>
                </c:pt>
                <c:pt idx="303">
                  <c:v>Government-France-Amarilla</c:v>
                </c:pt>
                <c:pt idx="304">
                  <c:v>Government-France-Montana</c:v>
                </c:pt>
                <c:pt idx="305">
                  <c:v>Midmarket-United States of America-Paseo</c:v>
                </c:pt>
                <c:pt idx="306">
                  <c:v>Midmarket-Germany-Paseo</c:v>
                </c:pt>
                <c:pt idx="307">
                  <c:v>Midmarket-United States of America-Paseo</c:v>
                </c:pt>
                <c:pt idx="308">
                  <c:v>Government-France-Paseo</c:v>
                </c:pt>
                <c:pt idx="309">
                  <c:v>Government-Germany-Velo</c:v>
                </c:pt>
                <c:pt idx="310">
                  <c:v>Government-Mexico-Velo</c:v>
                </c:pt>
                <c:pt idx="311">
                  <c:v>Midmarket-United States of America-VTT</c:v>
                </c:pt>
                <c:pt idx="312">
                  <c:v>Channel Partners-Mexico-Carretera</c:v>
                </c:pt>
                <c:pt idx="313">
                  <c:v>Channel Partners-Canada-Carretera</c:v>
                </c:pt>
                <c:pt idx="314">
                  <c:v>Government-Mexico-Carretera</c:v>
                </c:pt>
                <c:pt idx="315">
                  <c:v>Channel Partners-Mexico-Montana</c:v>
                </c:pt>
                <c:pt idx="316">
                  <c:v>Channel Partners-France-Montana</c:v>
                </c:pt>
                <c:pt idx="317">
                  <c:v>Government-France-Paseo</c:v>
                </c:pt>
                <c:pt idx="318">
                  <c:v>Midmarket-Canada-Velo</c:v>
                </c:pt>
                <c:pt idx="319">
                  <c:v>Government-Canada-Velo</c:v>
                </c:pt>
                <c:pt idx="320">
                  <c:v>Government-United States of America-Velo</c:v>
                </c:pt>
                <c:pt idx="321">
                  <c:v>Government-Canada-Velo</c:v>
                </c:pt>
                <c:pt idx="322">
                  <c:v>Channel Partners-France-VTT</c:v>
                </c:pt>
                <c:pt idx="323">
                  <c:v>Channel Partners-Germany-VTT</c:v>
                </c:pt>
                <c:pt idx="324">
                  <c:v>Government-Canada-VTT</c:v>
                </c:pt>
                <c:pt idx="325">
                  <c:v>Government-Canada-Amarilla</c:v>
                </c:pt>
                <c:pt idx="326">
                  <c:v>Government-United States of America-Carretera</c:v>
                </c:pt>
                <c:pt idx="327">
                  <c:v>Small Business-France-Carretera</c:v>
                </c:pt>
                <c:pt idx="328">
                  <c:v>Small Business-France-Carretera</c:v>
                </c:pt>
                <c:pt idx="329">
                  <c:v>Government-France-Montana</c:v>
                </c:pt>
                <c:pt idx="330">
                  <c:v>Small Business-France-Montana</c:v>
                </c:pt>
                <c:pt idx="331">
                  <c:v>Enterprise-Germany-Montana</c:v>
                </c:pt>
                <c:pt idx="332">
                  <c:v>Small Business-Canada-Paseo</c:v>
                </c:pt>
                <c:pt idx="333">
                  <c:v>Small Business-France-Paseo</c:v>
                </c:pt>
                <c:pt idx="334">
                  <c:v>Enterprise-Germany-Paseo</c:v>
                </c:pt>
                <c:pt idx="335">
                  <c:v>Midmarket-France-Paseo</c:v>
                </c:pt>
                <c:pt idx="336">
                  <c:v>Midmarket-United States of America-Paseo</c:v>
                </c:pt>
                <c:pt idx="337">
                  <c:v>Government-France-Paseo</c:v>
                </c:pt>
                <c:pt idx="338">
                  <c:v>Small Business-Germany-Paseo</c:v>
                </c:pt>
                <c:pt idx="339">
                  <c:v>Small Business-Canada-Paseo</c:v>
                </c:pt>
                <c:pt idx="340">
                  <c:v>Channel Partners-Mexico-Paseo</c:v>
                </c:pt>
                <c:pt idx="341">
                  <c:v>Government-Germany-Paseo</c:v>
                </c:pt>
                <c:pt idx="342">
                  <c:v>Small Business-France-Velo</c:v>
                </c:pt>
                <c:pt idx="343">
                  <c:v>Government-Mexico-Velo</c:v>
                </c:pt>
                <c:pt idx="344">
                  <c:v>Enterprise-Germany-Velo</c:v>
                </c:pt>
                <c:pt idx="345">
                  <c:v>Government-France-Velo</c:v>
                </c:pt>
                <c:pt idx="346">
                  <c:v>Government-United States of America-Velo</c:v>
                </c:pt>
                <c:pt idx="347">
                  <c:v>Small Business-United States of America-Velo</c:v>
                </c:pt>
                <c:pt idx="348">
                  <c:v>Government-Germany-Velo</c:v>
                </c:pt>
                <c:pt idx="349">
                  <c:v>Channel Partners-Canada-VTT</c:v>
                </c:pt>
                <c:pt idx="350">
                  <c:v>Small Business-France-VTT</c:v>
                </c:pt>
                <c:pt idx="351">
                  <c:v>Small Business-Mexico-VTT</c:v>
                </c:pt>
                <c:pt idx="352">
                  <c:v>Enterprise-Canada-Amarilla</c:v>
                </c:pt>
                <c:pt idx="353">
                  <c:v>Government-France-Amarilla</c:v>
                </c:pt>
                <c:pt idx="354">
                  <c:v>Enterprise-Germany-Amarilla</c:v>
                </c:pt>
                <c:pt idx="355">
                  <c:v>Government-Canada-Amarilla</c:v>
                </c:pt>
                <c:pt idx="356">
                  <c:v>Small Business-United States of America-Amarilla</c:v>
                </c:pt>
                <c:pt idx="357">
                  <c:v>Government-Canada-Montana</c:v>
                </c:pt>
                <c:pt idx="358">
                  <c:v>Government-United States of America-Montana</c:v>
                </c:pt>
                <c:pt idx="359">
                  <c:v>Government-Canada-Paseo</c:v>
                </c:pt>
                <c:pt idx="360">
                  <c:v>Government-United States of America-Amarilla</c:v>
                </c:pt>
                <c:pt idx="361">
                  <c:v>Enterprise-Mexico-Carretera</c:v>
                </c:pt>
                <c:pt idx="362">
                  <c:v>Midmarket-France-Carretera</c:v>
                </c:pt>
                <c:pt idx="363">
                  <c:v>Government-Mexico-Carretera</c:v>
                </c:pt>
                <c:pt idx="364">
                  <c:v>Midmarket-France-Montana</c:v>
                </c:pt>
                <c:pt idx="365">
                  <c:v>Government-Canada-Montana</c:v>
                </c:pt>
                <c:pt idx="366">
                  <c:v>Government-Germany-Montana</c:v>
                </c:pt>
                <c:pt idx="367">
                  <c:v>Small Business-France-Montana</c:v>
                </c:pt>
                <c:pt idx="368">
                  <c:v>Small Business-Canada-Montana</c:v>
                </c:pt>
                <c:pt idx="369">
                  <c:v>Midmarket-Germany-Montana</c:v>
                </c:pt>
                <c:pt idx="370">
                  <c:v>Enterprise-Mexico-Paseo</c:v>
                </c:pt>
                <c:pt idx="371">
                  <c:v>Government-Germany-Paseo</c:v>
                </c:pt>
                <c:pt idx="372">
                  <c:v>Government-Germany-Paseo</c:v>
                </c:pt>
                <c:pt idx="373">
                  <c:v>Government-Germany-Paseo</c:v>
                </c:pt>
                <c:pt idx="374">
                  <c:v>Small Business-Mexico-Paseo</c:v>
                </c:pt>
                <c:pt idx="375">
                  <c:v>Government-United States of America-Paseo</c:v>
                </c:pt>
                <c:pt idx="376">
                  <c:v>Government-Germany-Paseo</c:v>
                </c:pt>
                <c:pt idx="377">
                  <c:v>Government-Germany-Paseo</c:v>
                </c:pt>
                <c:pt idx="378">
                  <c:v>Government-Germany-Paseo</c:v>
                </c:pt>
                <c:pt idx="379">
                  <c:v>Government-Mexico-Paseo</c:v>
                </c:pt>
                <c:pt idx="380">
                  <c:v>Government-Germany-Paseo</c:v>
                </c:pt>
                <c:pt idx="381">
                  <c:v>Government-Mexico-Paseo</c:v>
                </c:pt>
                <c:pt idx="382">
                  <c:v>Government-Mexico-Paseo</c:v>
                </c:pt>
                <c:pt idx="383">
                  <c:v>Channel Partners-Canada-Velo</c:v>
                </c:pt>
                <c:pt idx="384">
                  <c:v>Government-United States of America-Velo</c:v>
                </c:pt>
                <c:pt idx="385">
                  <c:v>Government-Germany-Velo</c:v>
                </c:pt>
                <c:pt idx="386">
                  <c:v>Small Business-France-Velo</c:v>
                </c:pt>
                <c:pt idx="387">
                  <c:v>Small Business-Mexico-Velo</c:v>
                </c:pt>
                <c:pt idx="388">
                  <c:v>Government-France-VTT</c:v>
                </c:pt>
                <c:pt idx="389">
                  <c:v>Government-Germany-VTT</c:v>
                </c:pt>
                <c:pt idx="390">
                  <c:v>Government-France-VTT</c:v>
                </c:pt>
                <c:pt idx="391">
                  <c:v>Government-Germany-VTT</c:v>
                </c:pt>
                <c:pt idx="392">
                  <c:v>Small Business-Canada-VTT</c:v>
                </c:pt>
                <c:pt idx="393">
                  <c:v>Small Business-United States of America-VTT</c:v>
                </c:pt>
                <c:pt idx="394">
                  <c:v>Government-Canada-Amarilla</c:v>
                </c:pt>
                <c:pt idx="395">
                  <c:v>Government-United States of America-Amarilla</c:v>
                </c:pt>
                <c:pt idx="396">
                  <c:v>Government-Germany-Amarilla</c:v>
                </c:pt>
                <c:pt idx="397">
                  <c:v>Small Business-Mexico-Amarilla</c:v>
                </c:pt>
                <c:pt idx="398">
                  <c:v>Government-Germany-Amarilla</c:v>
                </c:pt>
                <c:pt idx="399">
                  <c:v>Midmarket-Germany-Amarilla</c:v>
                </c:pt>
                <c:pt idx="400">
                  <c:v>Channel Partners-Mexico-Amarilla</c:v>
                </c:pt>
                <c:pt idx="401">
                  <c:v>Small Business-Mexico-Amarilla</c:v>
                </c:pt>
                <c:pt idx="402">
                  <c:v>Government-United States of America-VTT</c:v>
                </c:pt>
                <c:pt idx="403">
                  <c:v>Small Business-Canada-Carretera</c:v>
                </c:pt>
                <c:pt idx="404">
                  <c:v>Channel Partners-Mexico-Carretera</c:v>
                </c:pt>
                <c:pt idx="405">
                  <c:v>Small Business-Canada-Montana</c:v>
                </c:pt>
                <c:pt idx="406">
                  <c:v>Government-France-Montana</c:v>
                </c:pt>
                <c:pt idx="407">
                  <c:v>Small Business-France-Montana</c:v>
                </c:pt>
                <c:pt idx="408">
                  <c:v>Channel Partners-Canada-Montana</c:v>
                </c:pt>
                <c:pt idx="409">
                  <c:v>Enterprise-France-Montana</c:v>
                </c:pt>
                <c:pt idx="410">
                  <c:v>Government-Canada-Montana</c:v>
                </c:pt>
                <c:pt idx="411">
                  <c:v>Enterprise-United States of America-Montana</c:v>
                </c:pt>
                <c:pt idx="412">
                  <c:v>Small Business-Germany-Montana</c:v>
                </c:pt>
                <c:pt idx="413">
                  <c:v>Small Business-Mexico-Paseo</c:v>
                </c:pt>
                <c:pt idx="414">
                  <c:v>Government-Mexico-Paseo</c:v>
                </c:pt>
                <c:pt idx="415">
                  <c:v>Midmarket-United States of America-Paseo</c:v>
                </c:pt>
                <c:pt idx="416">
                  <c:v>Small Business-Canada-Paseo</c:v>
                </c:pt>
                <c:pt idx="417">
                  <c:v>Midmarket-France-Paseo</c:v>
                </c:pt>
                <c:pt idx="418">
                  <c:v>Channel Partners-Mexico-Paseo</c:v>
                </c:pt>
                <c:pt idx="419">
                  <c:v>Small Business-France-Paseo</c:v>
                </c:pt>
                <c:pt idx="420">
                  <c:v>Channel Partners-Germany-Paseo</c:v>
                </c:pt>
                <c:pt idx="421">
                  <c:v>Enterprise-United States of America-Paseo</c:v>
                </c:pt>
                <c:pt idx="422">
                  <c:v>Midmarket-Mexico-Velo</c:v>
                </c:pt>
                <c:pt idx="423">
                  <c:v>Small Business-Canada-Velo</c:v>
                </c:pt>
                <c:pt idx="424">
                  <c:v>Government-Germany-Velo</c:v>
                </c:pt>
                <c:pt idx="425">
                  <c:v>Enterprise-Canada-Velo</c:v>
                </c:pt>
                <c:pt idx="426">
                  <c:v>Enterprise-Mexico-Velo</c:v>
                </c:pt>
                <c:pt idx="427">
                  <c:v>Government-Canada-Velo</c:v>
                </c:pt>
                <c:pt idx="428">
                  <c:v>Channel Partners-United States of America-VTT</c:v>
                </c:pt>
                <c:pt idx="429">
                  <c:v>Small Business-Germany-VTT</c:v>
                </c:pt>
                <c:pt idx="430">
                  <c:v>Government-United States of America-VTT</c:v>
                </c:pt>
                <c:pt idx="431">
                  <c:v>Channel Partners-Germany-VTT</c:v>
                </c:pt>
                <c:pt idx="432">
                  <c:v>Small Business-United States of America-VTT</c:v>
                </c:pt>
                <c:pt idx="433">
                  <c:v>Channel Partners-France-VTT</c:v>
                </c:pt>
                <c:pt idx="434">
                  <c:v>Midmarket-France-VTT</c:v>
                </c:pt>
                <c:pt idx="435">
                  <c:v>Enterprise-Mexico-VTT</c:v>
                </c:pt>
                <c:pt idx="436">
                  <c:v>Government-United States of America-Amarilla</c:v>
                </c:pt>
                <c:pt idx="437">
                  <c:v>Government-Canada-Amarilla</c:v>
                </c:pt>
                <c:pt idx="438">
                  <c:v>Midmarket-Germany-Amarilla</c:v>
                </c:pt>
                <c:pt idx="439">
                  <c:v>Government-Mexico-Amarilla</c:v>
                </c:pt>
                <c:pt idx="440">
                  <c:v>Government-Germany-Carretera</c:v>
                </c:pt>
                <c:pt idx="441">
                  <c:v>Government-Canada-Carretera</c:v>
                </c:pt>
                <c:pt idx="442">
                  <c:v>Channel Partners-Germany-Carretera</c:v>
                </c:pt>
                <c:pt idx="443">
                  <c:v>Government-Mexico-Carretera</c:v>
                </c:pt>
                <c:pt idx="444">
                  <c:v>Government-United States of America-Paseo</c:v>
                </c:pt>
                <c:pt idx="445">
                  <c:v>Government-Mexico-Paseo</c:v>
                </c:pt>
                <c:pt idx="446">
                  <c:v>Government-Germany-Paseo</c:v>
                </c:pt>
                <c:pt idx="447">
                  <c:v>Channel Partners-France-Velo</c:v>
                </c:pt>
                <c:pt idx="448">
                  <c:v>Midmarket-Mexico-Velo</c:v>
                </c:pt>
                <c:pt idx="449">
                  <c:v>Government-Germany-VTT</c:v>
                </c:pt>
                <c:pt idx="450">
                  <c:v>Government-France-VTT</c:v>
                </c:pt>
                <c:pt idx="451">
                  <c:v>Government-Mexico-VTT</c:v>
                </c:pt>
                <c:pt idx="452">
                  <c:v>Government-Mexico-Amarilla</c:v>
                </c:pt>
                <c:pt idx="453">
                  <c:v>Midmarket-Canada-Amarilla</c:v>
                </c:pt>
                <c:pt idx="454">
                  <c:v>Channel Partners-France-Amarilla</c:v>
                </c:pt>
                <c:pt idx="455">
                  <c:v>Channel Partners-United States of America-Carretera</c:v>
                </c:pt>
                <c:pt idx="456">
                  <c:v>Government-United States of America-Montana</c:v>
                </c:pt>
                <c:pt idx="457">
                  <c:v>Channel Partners-United States of America-Paseo</c:v>
                </c:pt>
                <c:pt idx="458">
                  <c:v>Enterprise-United States of America-Carretera</c:v>
                </c:pt>
                <c:pt idx="459">
                  <c:v>Enterprise-France-Carretera</c:v>
                </c:pt>
                <c:pt idx="460">
                  <c:v>Government-United States of America-Montana</c:v>
                </c:pt>
                <c:pt idx="461">
                  <c:v>Enterprise-United States of America-Montana</c:v>
                </c:pt>
                <c:pt idx="462">
                  <c:v>Midmarket-France-Montana</c:v>
                </c:pt>
                <c:pt idx="463">
                  <c:v>Government-France-Paseo</c:v>
                </c:pt>
                <c:pt idx="464">
                  <c:v>Small Business-Mexico-Paseo</c:v>
                </c:pt>
                <c:pt idx="465">
                  <c:v>Midmarket-France-Paseo</c:v>
                </c:pt>
                <c:pt idx="466">
                  <c:v>Government-Germany-Paseo</c:v>
                </c:pt>
                <c:pt idx="467">
                  <c:v>Midmarket-Germany-Velo</c:v>
                </c:pt>
                <c:pt idx="468">
                  <c:v>Midmarket-Germany-Velo</c:v>
                </c:pt>
                <c:pt idx="469">
                  <c:v>Midmarket-United States of America-Velo</c:v>
                </c:pt>
                <c:pt idx="470">
                  <c:v>Government-France-Velo</c:v>
                </c:pt>
                <c:pt idx="471">
                  <c:v>Enterprise-United States of America-Velo</c:v>
                </c:pt>
                <c:pt idx="472">
                  <c:v>Small Business-United States of America-Velo</c:v>
                </c:pt>
                <c:pt idx="473">
                  <c:v>Government-Germany-Velo</c:v>
                </c:pt>
                <c:pt idx="474">
                  <c:v>Government-Germany-Velo</c:v>
                </c:pt>
                <c:pt idx="475">
                  <c:v>Enterprise-Canada-Velo</c:v>
                </c:pt>
                <c:pt idx="476">
                  <c:v>Small Business-France-Velo</c:v>
                </c:pt>
                <c:pt idx="477">
                  <c:v>Enterprise-Mexico-VTT</c:v>
                </c:pt>
                <c:pt idx="478">
                  <c:v>Midmarket-Mexico-VTT</c:v>
                </c:pt>
                <c:pt idx="479">
                  <c:v>Government-United States of America-VTT</c:v>
                </c:pt>
                <c:pt idx="480">
                  <c:v>Small Business-Mexico-VTT</c:v>
                </c:pt>
                <c:pt idx="481">
                  <c:v>Small Business-United States of America-VTT</c:v>
                </c:pt>
                <c:pt idx="482">
                  <c:v>Midmarket-France-VTT</c:v>
                </c:pt>
                <c:pt idx="483">
                  <c:v>Enterprise-Canada-VTT</c:v>
                </c:pt>
                <c:pt idx="484">
                  <c:v>Government-Germany-VTT</c:v>
                </c:pt>
                <c:pt idx="485">
                  <c:v>Enterprise-United States of America-Amarilla</c:v>
                </c:pt>
                <c:pt idx="486">
                  <c:v>Government-Canada-Amarilla</c:v>
                </c:pt>
                <c:pt idx="487">
                  <c:v>Small Business-United States of America-Amarilla</c:v>
                </c:pt>
                <c:pt idx="488">
                  <c:v>Channel Partners-Canada-Amarilla</c:v>
                </c:pt>
                <c:pt idx="489">
                  <c:v>Government-Mexico-Amarilla</c:v>
                </c:pt>
                <c:pt idx="490">
                  <c:v>Channel Partners-Germany-Amarilla</c:v>
                </c:pt>
                <c:pt idx="491">
                  <c:v>Government-Canada-Amarilla</c:v>
                </c:pt>
                <c:pt idx="492">
                  <c:v>Midmarket-France-Amarilla</c:v>
                </c:pt>
                <c:pt idx="493">
                  <c:v>Small Business-France-Amarilla</c:v>
                </c:pt>
                <c:pt idx="494">
                  <c:v>Channel Partners-France-Carretera</c:v>
                </c:pt>
                <c:pt idx="495">
                  <c:v>Government-France-Paseo</c:v>
                </c:pt>
                <c:pt idx="496">
                  <c:v>Channel Partners-France-Paseo</c:v>
                </c:pt>
                <c:pt idx="497">
                  <c:v>Midmarket-Canada-Velo</c:v>
                </c:pt>
                <c:pt idx="498">
                  <c:v>Channel Partners-Germany-Velo</c:v>
                </c:pt>
                <c:pt idx="499">
                  <c:v>Government-United States of America-VTT</c:v>
                </c:pt>
                <c:pt idx="500">
                  <c:v>Channel Partners-Mexico-VTT</c:v>
                </c:pt>
                <c:pt idx="501">
                  <c:v>Midmarket-United States of America-Amarilla</c:v>
                </c:pt>
                <c:pt idx="502">
                  <c:v>Channel Partners-Germany-Amarilla</c:v>
                </c:pt>
                <c:pt idx="503">
                  <c:v>Channel Partners-Canada-Carretera</c:v>
                </c:pt>
                <c:pt idx="504">
                  <c:v>Government-Germany-Carretera</c:v>
                </c:pt>
                <c:pt idx="505">
                  <c:v>Small Business-Germany-Carretera</c:v>
                </c:pt>
                <c:pt idx="506">
                  <c:v>Enterprise-France-Carretera</c:v>
                </c:pt>
                <c:pt idx="507">
                  <c:v>Midmarket-Canada-Carretera</c:v>
                </c:pt>
                <c:pt idx="508">
                  <c:v>Government-Mexico-Carretera</c:v>
                </c:pt>
                <c:pt idx="509">
                  <c:v>Government-Germany-Montana</c:v>
                </c:pt>
                <c:pt idx="510">
                  <c:v>Government-Germany-Montana</c:v>
                </c:pt>
                <c:pt idx="511">
                  <c:v>Midmarket-Mexico-Montana</c:v>
                </c:pt>
                <c:pt idx="512">
                  <c:v>Small Business-Canada-Paseo</c:v>
                </c:pt>
                <c:pt idx="513">
                  <c:v>Government-Mexico-Paseo</c:v>
                </c:pt>
                <c:pt idx="514">
                  <c:v>Government-Canada-Paseo</c:v>
                </c:pt>
                <c:pt idx="515">
                  <c:v>Channel Partners-Canada-Paseo</c:v>
                </c:pt>
                <c:pt idx="516">
                  <c:v>Channel Partners-France-Paseo</c:v>
                </c:pt>
                <c:pt idx="517">
                  <c:v>Government-Canada-Paseo</c:v>
                </c:pt>
                <c:pt idx="518">
                  <c:v>Midmarket-Mexico-Paseo</c:v>
                </c:pt>
                <c:pt idx="519">
                  <c:v>Enterprise-France-Paseo</c:v>
                </c:pt>
                <c:pt idx="520">
                  <c:v>Government-Germany-Paseo</c:v>
                </c:pt>
                <c:pt idx="521">
                  <c:v>Small Business-Canada-Paseo</c:v>
                </c:pt>
                <c:pt idx="522">
                  <c:v>Government-France-Velo</c:v>
                </c:pt>
                <c:pt idx="523">
                  <c:v>Midmarket-Mexico-Velo</c:v>
                </c:pt>
                <c:pt idx="524">
                  <c:v>Government-Mexico-Velo</c:v>
                </c:pt>
                <c:pt idx="525">
                  <c:v>Government-Canada-Velo</c:v>
                </c:pt>
                <c:pt idx="526">
                  <c:v>Channel Partners-France-VTT</c:v>
                </c:pt>
                <c:pt idx="527">
                  <c:v>Enterprise-Mexico-VTT</c:v>
                </c:pt>
                <c:pt idx="528">
                  <c:v>Government-Canada-VTT</c:v>
                </c:pt>
                <c:pt idx="529">
                  <c:v>Enterprise-Germany-Amarilla</c:v>
                </c:pt>
                <c:pt idx="530">
                  <c:v>Government-Mexico-Amarilla</c:v>
                </c:pt>
                <c:pt idx="531">
                  <c:v>Enterprise-France-Amarilla</c:v>
                </c:pt>
                <c:pt idx="532">
                  <c:v>Enterprise-Mexico-Amarilla</c:v>
                </c:pt>
                <c:pt idx="533">
                  <c:v>Government-Mexico-Amarilla</c:v>
                </c:pt>
                <c:pt idx="534">
                  <c:v>Midmarket-Mexico-Amarilla</c:v>
                </c:pt>
                <c:pt idx="535">
                  <c:v>Government-United States of America-Paseo</c:v>
                </c:pt>
                <c:pt idx="536">
                  <c:v>Government-Mexico-Carretera</c:v>
                </c:pt>
                <c:pt idx="537">
                  <c:v>Enterprise-Canada-Carretera</c:v>
                </c:pt>
                <c:pt idx="538">
                  <c:v>Enterprise-Mexico-Carretera</c:v>
                </c:pt>
                <c:pt idx="539">
                  <c:v>Midmarket-Canada-Carretera</c:v>
                </c:pt>
                <c:pt idx="540">
                  <c:v>Midmarket-United States of America-Montana</c:v>
                </c:pt>
                <c:pt idx="541">
                  <c:v>Small Business-France-Montana</c:v>
                </c:pt>
                <c:pt idx="542">
                  <c:v>Government-Mexico-Montana</c:v>
                </c:pt>
                <c:pt idx="543">
                  <c:v>Government-Canada-Montana</c:v>
                </c:pt>
                <c:pt idx="544">
                  <c:v>Government-Mexico-Montana</c:v>
                </c:pt>
                <c:pt idx="545">
                  <c:v>Small Business-France-Montana</c:v>
                </c:pt>
                <c:pt idx="546">
                  <c:v>Small Business-United States of America-Paseo</c:v>
                </c:pt>
                <c:pt idx="547">
                  <c:v>Government-Mexico-Paseo</c:v>
                </c:pt>
                <c:pt idx="548">
                  <c:v>Enterprise-Mexico-Paseo</c:v>
                </c:pt>
                <c:pt idx="549">
                  <c:v>Government-Mexico-Paseo</c:v>
                </c:pt>
                <c:pt idx="550">
                  <c:v>Government-Mexico-Paseo</c:v>
                </c:pt>
                <c:pt idx="551">
                  <c:v>Government-France-Paseo</c:v>
                </c:pt>
                <c:pt idx="552">
                  <c:v>Small Business-Germany-Paseo</c:v>
                </c:pt>
                <c:pt idx="553">
                  <c:v>Small Business-Mexico-Paseo</c:v>
                </c:pt>
                <c:pt idx="554">
                  <c:v>Government-Mexico-Paseo</c:v>
                </c:pt>
                <c:pt idx="555">
                  <c:v>Midmarket-Mexico-Paseo</c:v>
                </c:pt>
                <c:pt idx="556">
                  <c:v>Government-Mexico-Paseo</c:v>
                </c:pt>
                <c:pt idx="557">
                  <c:v>Government-Mexico-Velo</c:v>
                </c:pt>
                <c:pt idx="558">
                  <c:v>Government-United States of America-Velo</c:v>
                </c:pt>
                <c:pt idx="559">
                  <c:v>Government-Mexico-Velo</c:v>
                </c:pt>
                <c:pt idx="560">
                  <c:v>Channel Partners-Canada-VTT</c:v>
                </c:pt>
                <c:pt idx="561">
                  <c:v>Midmarket-France-VTT</c:v>
                </c:pt>
                <c:pt idx="562">
                  <c:v>Government-Canada-VTT</c:v>
                </c:pt>
                <c:pt idx="563">
                  <c:v>Government-United States of America-VTT</c:v>
                </c:pt>
                <c:pt idx="564">
                  <c:v>Enterprise-United States of America-VTT</c:v>
                </c:pt>
                <c:pt idx="565">
                  <c:v>Government-Mexico-VTT</c:v>
                </c:pt>
                <c:pt idx="566">
                  <c:v>Government-United States of America-Amarilla</c:v>
                </c:pt>
                <c:pt idx="567">
                  <c:v>Government-France-Amarilla</c:v>
                </c:pt>
                <c:pt idx="568">
                  <c:v>Government-Canada-Amarilla</c:v>
                </c:pt>
                <c:pt idx="569">
                  <c:v>Midmarket-United States of America-Amarilla</c:v>
                </c:pt>
                <c:pt idx="570">
                  <c:v>Government-France-Carretera</c:v>
                </c:pt>
                <c:pt idx="571">
                  <c:v>Channel Partners-Mexico-Montana</c:v>
                </c:pt>
                <c:pt idx="572">
                  <c:v>Government-Germany-Paseo</c:v>
                </c:pt>
                <c:pt idx="573">
                  <c:v>Government-France-VTT</c:v>
                </c:pt>
                <c:pt idx="574">
                  <c:v>Government-Germany-VTT</c:v>
                </c:pt>
                <c:pt idx="575">
                  <c:v>Channel Partners-Canada-Amarilla</c:v>
                </c:pt>
                <c:pt idx="576">
                  <c:v>Midmarket-United States of America-Carretera</c:v>
                </c:pt>
                <c:pt idx="577">
                  <c:v>Midmarket-United States of America-VTT</c:v>
                </c:pt>
                <c:pt idx="578">
                  <c:v>Government-Canada-Carretera</c:v>
                </c:pt>
                <c:pt idx="579">
                  <c:v>Government-France-Carretera</c:v>
                </c:pt>
                <c:pt idx="580">
                  <c:v>Government-Germany-Carretera</c:v>
                </c:pt>
                <c:pt idx="581">
                  <c:v>Government-United States of America-Montana</c:v>
                </c:pt>
                <c:pt idx="582">
                  <c:v>Government-United States of America-Montana</c:v>
                </c:pt>
                <c:pt idx="583">
                  <c:v>Channel Partners-Mexico-Montana</c:v>
                </c:pt>
                <c:pt idx="584">
                  <c:v>Government-Mexico-Montana</c:v>
                </c:pt>
                <c:pt idx="585">
                  <c:v>Government-Canada-Montana</c:v>
                </c:pt>
                <c:pt idx="586">
                  <c:v>Government-United States of America-Paseo</c:v>
                </c:pt>
                <c:pt idx="587">
                  <c:v>Small Business-Germany-Paseo</c:v>
                </c:pt>
                <c:pt idx="588">
                  <c:v>Government-United States of America-Paseo</c:v>
                </c:pt>
                <c:pt idx="589">
                  <c:v>Government-Germany-Paseo</c:v>
                </c:pt>
                <c:pt idx="590">
                  <c:v>Government-Canada-Paseo</c:v>
                </c:pt>
                <c:pt idx="591">
                  <c:v>Enterprise-Canada-Paseo</c:v>
                </c:pt>
                <c:pt idx="592">
                  <c:v>Channel Partners-Mexico-Paseo</c:v>
                </c:pt>
                <c:pt idx="593">
                  <c:v>Government-France-Paseo</c:v>
                </c:pt>
                <c:pt idx="594">
                  <c:v>Midmarket-Canada-Paseo</c:v>
                </c:pt>
                <c:pt idx="595">
                  <c:v>Government-Canada-Paseo</c:v>
                </c:pt>
                <c:pt idx="596">
                  <c:v>Government-Germany-Paseo</c:v>
                </c:pt>
                <c:pt idx="597">
                  <c:v>Channel Partners-Germany-Paseo</c:v>
                </c:pt>
                <c:pt idx="598">
                  <c:v>Midmarket-France-Velo</c:v>
                </c:pt>
                <c:pt idx="599">
                  <c:v>Government-Canada-Velo</c:v>
                </c:pt>
                <c:pt idx="600">
                  <c:v>Government-France-Velo</c:v>
                </c:pt>
                <c:pt idx="601">
                  <c:v>Channel Partners-Mexico-Velo</c:v>
                </c:pt>
                <c:pt idx="602">
                  <c:v>Midmarket-Germany-Velo</c:v>
                </c:pt>
                <c:pt idx="603">
                  <c:v>Channel Partners-Mexico-Velo</c:v>
                </c:pt>
                <c:pt idx="604">
                  <c:v>Small Business-Mexico-Velo</c:v>
                </c:pt>
                <c:pt idx="605">
                  <c:v>Channel Partners-Germany-Velo</c:v>
                </c:pt>
                <c:pt idx="606">
                  <c:v>Enterprise-Canada-VTT</c:v>
                </c:pt>
                <c:pt idx="607">
                  <c:v>Midmarket-Canada-VTT</c:v>
                </c:pt>
                <c:pt idx="608">
                  <c:v>Enterprise-Canada-Amarilla</c:v>
                </c:pt>
                <c:pt idx="609">
                  <c:v>Government-France-Amarilla</c:v>
                </c:pt>
                <c:pt idx="610">
                  <c:v>Channel Partners-Mexico-Amarilla</c:v>
                </c:pt>
                <c:pt idx="611">
                  <c:v>Channel Partners-Germany-Amarilla</c:v>
                </c:pt>
                <c:pt idx="612">
                  <c:v>Government-Mexico-Carretera</c:v>
                </c:pt>
                <c:pt idx="613">
                  <c:v>Government-United States of America-Carretera</c:v>
                </c:pt>
                <c:pt idx="614">
                  <c:v>Government-United States of America-Carretera</c:v>
                </c:pt>
                <c:pt idx="615">
                  <c:v>Government-Germany-Carretera</c:v>
                </c:pt>
                <c:pt idx="616">
                  <c:v>Government-France-Montana</c:v>
                </c:pt>
                <c:pt idx="617">
                  <c:v>Government-United States of America-Montana</c:v>
                </c:pt>
                <c:pt idx="618">
                  <c:v>Midmarket-Germany-Paseo</c:v>
                </c:pt>
                <c:pt idx="619">
                  <c:v>Government-Canada-Paseo</c:v>
                </c:pt>
                <c:pt idx="620">
                  <c:v>Midmarket-United States of America-Paseo</c:v>
                </c:pt>
                <c:pt idx="621">
                  <c:v>Channel Partners-France-Paseo</c:v>
                </c:pt>
                <c:pt idx="622">
                  <c:v>Government-Germany-VTT</c:v>
                </c:pt>
                <c:pt idx="623">
                  <c:v>Channel Partners-France-Amarilla</c:v>
                </c:pt>
                <c:pt idx="624">
                  <c:v>Channel Partners-United States of America-Amarilla</c:v>
                </c:pt>
                <c:pt idx="625">
                  <c:v>Small Business-Mexico-Carretera</c:v>
                </c:pt>
                <c:pt idx="626">
                  <c:v>Enterprise-France-Carretera</c:v>
                </c:pt>
                <c:pt idx="627">
                  <c:v>Small Business-Canada-Carretera</c:v>
                </c:pt>
                <c:pt idx="628">
                  <c:v>Small Business-United States of America-Carretera</c:v>
                </c:pt>
                <c:pt idx="629">
                  <c:v>Midmarket-Germany-Carretera</c:v>
                </c:pt>
                <c:pt idx="630">
                  <c:v>Midmarket-Canada-Carretera</c:v>
                </c:pt>
                <c:pt idx="631">
                  <c:v>Enterprise-Mexico-Carretera</c:v>
                </c:pt>
                <c:pt idx="632">
                  <c:v>Government-Canada-Montana</c:v>
                </c:pt>
                <c:pt idx="633">
                  <c:v>Government-Germany-Montana</c:v>
                </c:pt>
                <c:pt idx="634">
                  <c:v>Government-Canada-Montana</c:v>
                </c:pt>
                <c:pt idx="635">
                  <c:v>Government-Canada-Montana</c:v>
                </c:pt>
                <c:pt idx="636">
                  <c:v>Government-Mexico-Montana</c:v>
                </c:pt>
                <c:pt idx="637">
                  <c:v>Midmarket-Canada-Montana</c:v>
                </c:pt>
                <c:pt idx="638">
                  <c:v>Government-Mexico-Paseo</c:v>
                </c:pt>
                <c:pt idx="639">
                  <c:v>Midmarket-Canada-Paseo</c:v>
                </c:pt>
                <c:pt idx="640">
                  <c:v>Midmarket-Canada-Paseo</c:v>
                </c:pt>
                <c:pt idx="641">
                  <c:v>Channel Partners-United States of America-Paseo</c:v>
                </c:pt>
                <c:pt idx="642">
                  <c:v>Government-France-Paseo</c:v>
                </c:pt>
                <c:pt idx="643">
                  <c:v>Government-Canada-Paseo</c:v>
                </c:pt>
                <c:pt idx="644">
                  <c:v>Channel Partners-Canada-Paseo</c:v>
                </c:pt>
                <c:pt idx="645">
                  <c:v>Government-United States of America-Paseo</c:v>
                </c:pt>
                <c:pt idx="646">
                  <c:v>Government-France-Paseo</c:v>
                </c:pt>
                <c:pt idx="647">
                  <c:v>Enterprise-Mexico-Velo</c:v>
                </c:pt>
                <c:pt idx="648">
                  <c:v>Government-United States of America-Velo</c:v>
                </c:pt>
                <c:pt idx="649">
                  <c:v>Small Business-United States of America-Velo</c:v>
                </c:pt>
                <c:pt idx="650">
                  <c:v>Small Business-Canada-Velo</c:v>
                </c:pt>
                <c:pt idx="651">
                  <c:v>Small Business-Germany-Velo</c:v>
                </c:pt>
                <c:pt idx="652">
                  <c:v>Government-Mexico-VTT</c:v>
                </c:pt>
                <c:pt idx="653">
                  <c:v>Small Business-United States of America-VTT</c:v>
                </c:pt>
                <c:pt idx="654">
                  <c:v>Small Business-Canada-VTT</c:v>
                </c:pt>
                <c:pt idx="655">
                  <c:v>Small Business-Canada-VTT</c:v>
                </c:pt>
                <c:pt idx="656">
                  <c:v>Small Business-United States of America-VTT</c:v>
                </c:pt>
                <c:pt idx="657">
                  <c:v>Government-France-VTT</c:v>
                </c:pt>
                <c:pt idx="658">
                  <c:v>Small Business-Canada-Amarilla</c:v>
                </c:pt>
                <c:pt idx="659">
                  <c:v>Enterprise-United States of America-Amarilla</c:v>
                </c:pt>
                <c:pt idx="660">
                  <c:v>Channel Partners-France-Amarilla</c:v>
                </c:pt>
                <c:pt idx="661">
                  <c:v>Midmarket-Canada-Amarilla</c:v>
                </c:pt>
                <c:pt idx="662">
                  <c:v>Channel Partners-United States of America-Amarilla</c:v>
                </c:pt>
                <c:pt idx="663">
                  <c:v>Government-France-Amarilla</c:v>
                </c:pt>
                <c:pt idx="664">
                  <c:v>Government-Mexico-Amarilla</c:v>
                </c:pt>
                <c:pt idx="665">
                  <c:v>Midmarket-Mexico-Amarilla</c:v>
                </c:pt>
                <c:pt idx="666">
                  <c:v>Enterprise-France-Carretera</c:v>
                </c:pt>
                <c:pt idx="667">
                  <c:v>Enterprise-Germany-Carretera</c:v>
                </c:pt>
                <c:pt idx="668">
                  <c:v>Enterprise-Germany-Carretera</c:v>
                </c:pt>
                <c:pt idx="669">
                  <c:v>Small Business-Mexico-Montana</c:v>
                </c:pt>
                <c:pt idx="670">
                  <c:v>Government-Germany-Paseo</c:v>
                </c:pt>
                <c:pt idx="671">
                  <c:v>Midmarket-Canada-Paseo</c:v>
                </c:pt>
                <c:pt idx="672">
                  <c:v>Government-Mexico-Paseo</c:v>
                </c:pt>
                <c:pt idx="673">
                  <c:v>Government-Mexico-Paseo</c:v>
                </c:pt>
                <c:pt idx="674">
                  <c:v>Midmarket-Canada-Paseo</c:v>
                </c:pt>
                <c:pt idx="675">
                  <c:v>Government-United States of America-Paseo</c:v>
                </c:pt>
                <c:pt idx="676">
                  <c:v>Enterprise-Germany-Paseo</c:v>
                </c:pt>
                <c:pt idx="677">
                  <c:v>Midmarket-Germany-Paseo</c:v>
                </c:pt>
                <c:pt idx="678">
                  <c:v>Government-United States of America-Paseo</c:v>
                </c:pt>
                <c:pt idx="679">
                  <c:v>Government-Mexico-Paseo</c:v>
                </c:pt>
                <c:pt idx="680">
                  <c:v>Channel Partners-United States of America-Paseo</c:v>
                </c:pt>
                <c:pt idx="681">
                  <c:v>Government-France-Paseo</c:v>
                </c:pt>
                <c:pt idx="682">
                  <c:v>Channel Partners-Mexico-Velo</c:v>
                </c:pt>
                <c:pt idx="683">
                  <c:v>Midmarket-France-Velo</c:v>
                </c:pt>
                <c:pt idx="684">
                  <c:v>Enterprise-France-Velo</c:v>
                </c:pt>
                <c:pt idx="685">
                  <c:v>Small Business-United States of America-Velo</c:v>
                </c:pt>
                <c:pt idx="686">
                  <c:v>Enterprise-United States of America-Velo</c:v>
                </c:pt>
                <c:pt idx="687">
                  <c:v>Channel Partners-United States of America-Velo</c:v>
                </c:pt>
                <c:pt idx="688">
                  <c:v>Government-Canada-VTT</c:v>
                </c:pt>
                <c:pt idx="689">
                  <c:v>Midmarket-Germany-VTT</c:v>
                </c:pt>
                <c:pt idx="690">
                  <c:v>Government-United States of America-VTT</c:v>
                </c:pt>
                <c:pt idx="691">
                  <c:v>Midmarket-Germany-VTT</c:v>
                </c:pt>
                <c:pt idx="692">
                  <c:v>Enterprise-Canada-VTT</c:v>
                </c:pt>
                <c:pt idx="693">
                  <c:v>Enterprise-Germany-VTT</c:v>
                </c:pt>
                <c:pt idx="694">
                  <c:v>Government-France-VTT</c:v>
                </c:pt>
                <c:pt idx="695">
                  <c:v>Small Business-France-Amarilla</c:v>
                </c:pt>
                <c:pt idx="696">
                  <c:v>Small Business-Mexico-Amarilla</c:v>
                </c:pt>
                <c:pt idx="697">
                  <c:v>Government-Mexico-Montana</c:v>
                </c:pt>
                <c:pt idx="698">
                  <c:v>Government-Canada-Paseo</c:v>
                </c:pt>
                <c:pt idx="699">
                  <c:v>Channel Partners-United States of America-VTT</c:v>
                </c:pt>
              </c:strCache>
            </c:strRef>
          </c:xVal>
          <c:yVal>
            <c:numRef>
              <c:f>Sheet1!$H$4:$H$703</c:f>
              <c:numCache>
                <c:formatCode>0.00</c:formatCode>
                <c:ptCount val="700"/>
                <c:pt idx="0">
                  <c:v>32370</c:v>
                </c:pt>
                <c:pt idx="1">
                  <c:v>26420</c:v>
                </c:pt>
                <c:pt idx="2">
                  <c:v>32670</c:v>
                </c:pt>
                <c:pt idx="3">
                  <c:v>13320</c:v>
                </c:pt>
                <c:pt idx="4">
                  <c:v>37050</c:v>
                </c:pt>
                <c:pt idx="5">
                  <c:v>0</c:v>
                </c:pt>
                <c:pt idx="6">
                  <c:v>13815</c:v>
                </c:pt>
                <c:pt idx="7">
                  <c:v>30216</c:v>
                </c:pt>
                <c:pt idx="8">
                  <c:v>37980</c:v>
                </c:pt>
                <c:pt idx="9">
                  <c:v>18540</c:v>
                </c:pt>
                <c:pt idx="10">
                  <c:v>37050</c:v>
                </c:pt>
                <c:pt idx="11">
                  <c:v>0</c:v>
                </c:pt>
                <c:pt idx="12">
                  <c:v>0</c:v>
                </c:pt>
                <c:pt idx="13">
                  <c:v>15022</c:v>
                </c:pt>
                <c:pt idx="14">
                  <c:v>43125</c:v>
                </c:pt>
                <c:pt idx="15">
                  <c:v>9225</c:v>
                </c:pt>
                <c:pt idx="16">
                  <c:v>5840</c:v>
                </c:pt>
                <c:pt idx="17">
                  <c:v>14610</c:v>
                </c:pt>
                <c:pt idx="18">
                  <c:v>30216</c:v>
                </c:pt>
                <c:pt idx="19">
                  <c:v>0</c:v>
                </c:pt>
                <c:pt idx="20">
                  <c:v>4404</c:v>
                </c:pt>
                <c:pt idx="21">
                  <c:v>6181</c:v>
                </c:pt>
                <c:pt idx="22">
                  <c:v>8235</c:v>
                </c:pt>
                <c:pt idx="23">
                  <c:v>0</c:v>
                </c:pt>
                <c:pt idx="24">
                  <c:v>37080</c:v>
                </c:pt>
                <c:pt idx="25">
                  <c:v>8001</c:v>
                </c:pt>
                <c:pt idx="26">
                  <c:v>0</c:v>
                </c:pt>
                <c:pt idx="27">
                  <c:v>10944</c:v>
                </c:pt>
                <c:pt idx="28">
                  <c:v>32280</c:v>
                </c:pt>
                <c:pt idx="29">
                  <c:v>36340</c:v>
                </c:pt>
                <c:pt idx="30">
                  <c:v>0</c:v>
                </c:pt>
                <c:pt idx="31">
                  <c:v>10451</c:v>
                </c:pt>
                <c:pt idx="32">
                  <c:v>0</c:v>
                </c:pt>
                <c:pt idx="33">
                  <c:v>25932</c:v>
                </c:pt>
                <c:pt idx="34">
                  <c:v>0</c:v>
                </c:pt>
                <c:pt idx="35">
                  <c:v>18540</c:v>
                </c:pt>
                <c:pt idx="36">
                  <c:v>0</c:v>
                </c:pt>
                <c:pt idx="37">
                  <c:v>43125</c:v>
                </c:pt>
                <c:pt idx="38">
                  <c:v>0</c:v>
                </c:pt>
                <c:pt idx="39">
                  <c:v>34056</c:v>
                </c:pt>
                <c:pt idx="40">
                  <c:v>32670</c:v>
                </c:pt>
                <c:pt idx="41">
                  <c:v>13320</c:v>
                </c:pt>
                <c:pt idx="42">
                  <c:v>0</c:v>
                </c:pt>
                <c:pt idx="43">
                  <c:v>0</c:v>
                </c:pt>
                <c:pt idx="44">
                  <c:v>36340</c:v>
                </c:pt>
                <c:pt idx="45">
                  <c:v>0</c:v>
                </c:pt>
                <c:pt idx="46">
                  <c:v>23436</c:v>
                </c:pt>
                <c:pt idx="47">
                  <c:v>0</c:v>
                </c:pt>
                <c:pt idx="48">
                  <c:v>37980</c:v>
                </c:pt>
                <c:pt idx="49">
                  <c:v>11802</c:v>
                </c:pt>
                <c:pt idx="50">
                  <c:v>25692</c:v>
                </c:pt>
                <c:pt idx="51">
                  <c:v>8001</c:v>
                </c:pt>
                <c:pt idx="52">
                  <c:v>9225</c:v>
                </c:pt>
                <c:pt idx="53">
                  <c:v>27338.85</c:v>
                </c:pt>
                <c:pt idx="54">
                  <c:v>34095.599999999999</c:v>
                </c:pt>
                <c:pt idx="55">
                  <c:v>7137.9</c:v>
                </c:pt>
                <c:pt idx="56">
                  <c:v>4428.2700000000004</c:v>
                </c:pt>
                <c:pt idx="57">
                  <c:v>9189.18</c:v>
                </c:pt>
                <c:pt idx="58">
                  <c:v>22073.040000000001</c:v>
                </c:pt>
                <c:pt idx="59">
                  <c:v>0</c:v>
                </c:pt>
                <c:pt idx="60">
                  <c:v>17525.97</c:v>
                </c:pt>
                <c:pt idx="61">
                  <c:v>17166.599999999999</c:v>
                </c:pt>
                <c:pt idx="62">
                  <c:v>40837.5</c:v>
                </c:pt>
                <c:pt idx="63">
                  <c:v>31731.48</c:v>
                </c:pt>
                <c:pt idx="64">
                  <c:v>9100.08</c:v>
                </c:pt>
                <c:pt idx="65">
                  <c:v>0</c:v>
                </c:pt>
                <c:pt idx="66">
                  <c:v>0</c:v>
                </c:pt>
                <c:pt idx="67">
                  <c:v>0</c:v>
                </c:pt>
                <c:pt idx="68">
                  <c:v>32877.9</c:v>
                </c:pt>
                <c:pt idx="69">
                  <c:v>0</c:v>
                </c:pt>
                <c:pt idx="70">
                  <c:v>27234.9</c:v>
                </c:pt>
                <c:pt idx="71">
                  <c:v>12681.9</c:v>
                </c:pt>
                <c:pt idx="72">
                  <c:v>0</c:v>
                </c:pt>
                <c:pt idx="73">
                  <c:v>82046.25</c:v>
                </c:pt>
                <c:pt idx="74">
                  <c:v>22482.9</c:v>
                </c:pt>
                <c:pt idx="75">
                  <c:v>31133.03</c:v>
                </c:pt>
                <c:pt idx="76">
                  <c:v>89966.25</c:v>
                </c:pt>
                <c:pt idx="77">
                  <c:v>97391.25</c:v>
                </c:pt>
                <c:pt idx="78">
                  <c:v>0</c:v>
                </c:pt>
                <c:pt idx="79">
                  <c:v>11092.95</c:v>
                </c:pt>
                <c:pt idx="80">
                  <c:v>9100.08</c:v>
                </c:pt>
                <c:pt idx="81">
                  <c:v>0</c:v>
                </c:pt>
                <c:pt idx="82">
                  <c:v>0</c:v>
                </c:pt>
                <c:pt idx="83">
                  <c:v>76507.199999999997</c:v>
                </c:pt>
                <c:pt idx="84">
                  <c:v>2508.66</c:v>
                </c:pt>
                <c:pt idx="85">
                  <c:v>0</c:v>
                </c:pt>
                <c:pt idx="86">
                  <c:v>82046.25</c:v>
                </c:pt>
                <c:pt idx="87">
                  <c:v>14497.56</c:v>
                </c:pt>
                <c:pt idx="88">
                  <c:v>1822.59</c:v>
                </c:pt>
                <c:pt idx="89">
                  <c:v>0</c:v>
                </c:pt>
                <c:pt idx="90">
                  <c:v>89966.25</c:v>
                </c:pt>
                <c:pt idx="91">
                  <c:v>97391.25</c:v>
                </c:pt>
                <c:pt idx="92">
                  <c:v>0</c:v>
                </c:pt>
                <c:pt idx="93">
                  <c:v>0</c:v>
                </c:pt>
                <c:pt idx="94">
                  <c:v>0</c:v>
                </c:pt>
                <c:pt idx="95">
                  <c:v>0</c:v>
                </c:pt>
                <c:pt idx="96">
                  <c:v>23629.32</c:v>
                </c:pt>
                <c:pt idx="97">
                  <c:v>4766.8500000000004</c:v>
                </c:pt>
                <c:pt idx="98">
                  <c:v>90956.25</c:v>
                </c:pt>
                <c:pt idx="99">
                  <c:v>15229.2</c:v>
                </c:pt>
                <c:pt idx="100">
                  <c:v>62916</c:v>
                </c:pt>
                <c:pt idx="101">
                  <c:v>14714.7</c:v>
                </c:pt>
                <c:pt idx="102">
                  <c:v>0</c:v>
                </c:pt>
                <c:pt idx="103">
                  <c:v>13429.92</c:v>
                </c:pt>
                <c:pt idx="104">
                  <c:v>30693.599999999999</c:v>
                </c:pt>
                <c:pt idx="105">
                  <c:v>8114.4</c:v>
                </c:pt>
                <c:pt idx="106">
                  <c:v>0</c:v>
                </c:pt>
                <c:pt idx="107">
                  <c:v>34736.1</c:v>
                </c:pt>
                <c:pt idx="108">
                  <c:v>0</c:v>
                </c:pt>
                <c:pt idx="109">
                  <c:v>0</c:v>
                </c:pt>
                <c:pt idx="110">
                  <c:v>13429.92</c:v>
                </c:pt>
                <c:pt idx="111">
                  <c:v>81095</c:v>
                </c:pt>
                <c:pt idx="112">
                  <c:v>15229.2</c:v>
                </c:pt>
                <c:pt idx="113">
                  <c:v>99102.5</c:v>
                </c:pt>
                <c:pt idx="114">
                  <c:v>0</c:v>
                </c:pt>
                <c:pt idx="115">
                  <c:v>20991.599999999999</c:v>
                </c:pt>
                <c:pt idx="116">
                  <c:v>0</c:v>
                </c:pt>
                <c:pt idx="117">
                  <c:v>0</c:v>
                </c:pt>
                <c:pt idx="118">
                  <c:v>0</c:v>
                </c:pt>
                <c:pt idx="119">
                  <c:v>28297.5</c:v>
                </c:pt>
                <c:pt idx="120">
                  <c:v>13809.18</c:v>
                </c:pt>
                <c:pt idx="121">
                  <c:v>12406.8</c:v>
                </c:pt>
                <c:pt idx="122">
                  <c:v>12747.84</c:v>
                </c:pt>
                <c:pt idx="123">
                  <c:v>30693.599999999999</c:v>
                </c:pt>
                <c:pt idx="124">
                  <c:v>0</c:v>
                </c:pt>
                <c:pt idx="125">
                  <c:v>0</c:v>
                </c:pt>
                <c:pt idx="126">
                  <c:v>99102.5</c:v>
                </c:pt>
                <c:pt idx="127">
                  <c:v>0</c:v>
                </c:pt>
                <c:pt idx="128">
                  <c:v>12406.8</c:v>
                </c:pt>
                <c:pt idx="129">
                  <c:v>10662.4</c:v>
                </c:pt>
                <c:pt idx="130">
                  <c:v>12747.84</c:v>
                </c:pt>
                <c:pt idx="131">
                  <c:v>81095</c:v>
                </c:pt>
                <c:pt idx="132">
                  <c:v>62916</c:v>
                </c:pt>
                <c:pt idx="133">
                  <c:v>0</c:v>
                </c:pt>
                <c:pt idx="134">
                  <c:v>0</c:v>
                </c:pt>
                <c:pt idx="135">
                  <c:v>91238</c:v>
                </c:pt>
                <c:pt idx="136">
                  <c:v>0</c:v>
                </c:pt>
                <c:pt idx="137">
                  <c:v>76146</c:v>
                </c:pt>
                <c:pt idx="138">
                  <c:v>0</c:v>
                </c:pt>
                <c:pt idx="139">
                  <c:v>0</c:v>
                </c:pt>
                <c:pt idx="140">
                  <c:v>0</c:v>
                </c:pt>
                <c:pt idx="141">
                  <c:v>24225.599999999999</c:v>
                </c:pt>
                <c:pt idx="142">
                  <c:v>18443.599999999999</c:v>
                </c:pt>
                <c:pt idx="143">
                  <c:v>0</c:v>
                </c:pt>
                <c:pt idx="144">
                  <c:v>0</c:v>
                </c:pt>
                <c:pt idx="145">
                  <c:v>50052</c:v>
                </c:pt>
                <c:pt idx="146">
                  <c:v>0</c:v>
                </c:pt>
                <c:pt idx="147">
                  <c:v>22663.08</c:v>
                </c:pt>
                <c:pt idx="148">
                  <c:v>10569.12</c:v>
                </c:pt>
                <c:pt idx="149">
                  <c:v>13294.82</c:v>
                </c:pt>
                <c:pt idx="150">
                  <c:v>22127.64</c:v>
                </c:pt>
                <c:pt idx="151">
                  <c:v>3693.76</c:v>
                </c:pt>
                <c:pt idx="152">
                  <c:v>0</c:v>
                </c:pt>
                <c:pt idx="153">
                  <c:v>0</c:v>
                </c:pt>
                <c:pt idx="154">
                  <c:v>0</c:v>
                </c:pt>
                <c:pt idx="155">
                  <c:v>0</c:v>
                </c:pt>
                <c:pt idx="156">
                  <c:v>0</c:v>
                </c:pt>
                <c:pt idx="157">
                  <c:v>22127.64</c:v>
                </c:pt>
                <c:pt idx="158">
                  <c:v>0</c:v>
                </c:pt>
                <c:pt idx="159">
                  <c:v>0</c:v>
                </c:pt>
                <c:pt idx="160">
                  <c:v>15940.98</c:v>
                </c:pt>
                <c:pt idx="161">
                  <c:v>0</c:v>
                </c:pt>
                <c:pt idx="162">
                  <c:v>28299.75</c:v>
                </c:pt>
                <c:pt idx="163">
                  <c:v>0</c:v>
                </c:pt>
                <c:pt idx="164">
                  <c:v>0</c:v>
                </c:pt>
                <c:pt idx="165">
                  <c:v>0</c:v>
                </c:pt>
                <c:pt idx="166">
                  <c:v>0</c:v>
                </c:pt>
                <c:pt idx="167">
                  <c:v>22302.240000000002</c:v>
                </c:pt>
                <c:pt idx="168">
                  <c:v>0</c:v>
                </c:pt>
                <c:pt idx="169">
                  <c:v>0</c:v>
                </c:pt>
                <c:pt idx="170">
                  <c:v>0</c:v>
                </c:pt>
                <c:pt idx="171">
                  <c:v>28299.75</c:v>
                </c:pt>
                <c:pt idx="172">
                  <c:v>16121.4</c:v>
                </c:pt>
                <c:pt idx="173">
                  <c:v>11950.4</c:v>
                </c:pt>
                <c:pt idx="174">
                  <c:v>74699.7</c:v>
                </c:pt>
                <c:pt idx="175">
                  <c:v>28855.56</c:v>
                </c:pt>
                <c:pt idx="176">
                  <c:v>29246.400000000001</c:v>
                </c:pt>
                <c:pt idx="177">
                  <c:v>29246.400000000001</c:v>
                </c:pt>
                <c:pt idx="178">
                  <c:v>32558.400000000001</c:v>
                </c:pt>
                <c:pt idx="179">
                  <c:v>14131.2</c:v>
                </c:pt>
                <c:pt idx="180">
                  <c:v>19158.72</c:v>
                </c:pt>
                <c:pt idx="181">
                  <c:v>0</c:v>
                </c:pt>
                <c:pt idx="182">
                  <c:v>92064</c:v>
                </c:pt>
                <c:pt idx="183">
                  <c:v>28324.799999999999</c:v>
                </c:pt>
                <c:pt idx="184">
                  <c:v>0</c:v>
                </c:pt>
                <c:pt idx="185">
                  <c:v>19158.72</c:v>
                </c:pt>
                <c:pt idx="186">
                  <c:v>0</c:v>
                </c:pt>
                <c:pt idx="187">
                  <c:v>0</c:v>
                </c:pt>
                <c:pt idx="188">
                  <c:v>28566.720000000001</c:v>
                </c:pt>
                <c:pt idx="189">
                  <c:v>95400</c:v>
                </c:pt>
                <c:pt idx="190">
                  <c:v>0</c:v>
                </c:pt>
                <c:pt idx="191">
                  <c:v>0</c:v>
                </c:pt>
                <c:pt idx="192">
                  <c:v>0</c:v>
                </c:pt>
                <c:pt idx="193">
                  <c:v>0</c:v>
                </c:pt>
                <c:pt idx="194">
                  <c:v>3139.2</c:v>
                </c:pt>
                <c:pt idx="195">
                  <c:v>39820.800000000003</c:v>
                </c:pt>
                <c:pt idx="196">
                  <c:v>20275.2</c:v>
                </c:pt>
                <c:pt idx="197">
                  <c:v>9662.4</c:v>
                </c:pt>
                <c:pt idx="198">
                  <c:v>21801.599999999999</c:v>
                </c:pt>
                <c:pt idx="199">
                  <c:v>92064</c:v>
                </c:pt>
                <c:pt idx="200">
                  <c:v>0</c:v>
                </c:pt>
                <c:pt idx="201">
                  <c:v>16876.8</c:v>
                </c:pt>
                <c:pt idx="202">
                  <c:v>50803.199999999997</c:v>
                </c:pt>
                <c:pt idx="203">
                  <c:v>0</c:v>
                </c:pt>
                <c:pt idx="204">
                  <c:v>9976.32</c:v>
                </c:pt>
                <c:pt idx="205">
                  <c:v>0</c:v>
                </c:pt>
                <c:pt idx="206">
                  <c:v>0</c:v>
                </c:pt>
                <c:pt idx="207">
                  <c:v>21801.599999999999</c:v>
                </c:pt>
                <c:pt idx="208">
                  <c:v>0</c:v>
                </c:pt>
                <c:pt idx="209">
                  <c:v>0</c:v>
                </c:pt>
                <c:pt idx="210">
                  <c:v>0</c:v>
                </c:pt>
                <c:pt idx="211">
                  <c:v>9662.4</c:v>
                </c:pt>
                <c:pt idx="212">
                  <c:v>0</c:v>
                </c:pt>
                <c:pt idx="213">
                  <c:v>7707.35</c:v>
                </c:pt>
                <c:pt idx="214">
                  <c:v>9123.7999999999993</c:v>
                </c:pt>
                <c:pt idx="215">
                  <c:v>15620.85</c:v>
                </c:pt>
                <c:pt idx="216">
                  <c:v>17881.849999999999</c:v>
                </c:pt>
                <c:pt idx="217">
                  <c:v>27713.4</c:v>
                </c:pt>
                <c:pt idx="218">
                  <c:v>27713.4</c:v>
                </c:pt>
                <c:pt idx="219">
                  <c:v>17881.849999999999</c:v>
                </c:pt>
                <c:pt idx="220">
                  <c:v>11191.95</c:v>
                </c:pt>
                <c:pt idx="221">
                  <c:v>12802.2</c:v>
                </c:pt>
                <c:pt idx="222">
                  <c:v>7707.35</c:v>
                </c:pt>
                <c:pt idx="223">
                  <c:v>21261</c:v>
                </c:pt>
                <c:pt idx="224">
                  <c:v>12722.4</c:v>
                </c:pt>
                <c:pt idx="225">
                  <c:v>29697</c:v>
                </c:pt>
                <c:pt idx="226">
                  <c:v>0</c:v>
                </c:pt>
                <c:pt idx="227">
                  <c:v>6756.4</c:v>
                </c:pt>
                <c:pt idx="228">
                  <c:v>39771.75</c:v>
                </c:pt>
                <c:pt idx="229">
                  <c:v>3790.5</c:v>
                </c:pt>
                <c:pt idx="230">
                  <c:v>16538.55</c:v>
                </c:pt>
                <c:pt idx="231">
                  <c:v>0</c:v>
                </c:pt>
                <c:pt idx="232">
                  <c:v>0</c:v>
                </c:pt>
                <c:pt idx="233">
                  <c:v>0</c:v>
                </c:pt>
                <c:pt idx="234">
                  <c:v>26698.799999999999</c:v>
                </c:pt>
                <c:pt idx="235">
                  <c:v>0</c:v>
                </c:pt>
                <c:pt idx="236">
                  <c:v>24757</c:v>
                </c:pt>
                <c:pt idx="237">
                  <c:v>0</c:v>
                </c:pt>
                <c:pt idx="238">
                  <c:v>0</c:v>
                </c:pt>
                <c:pt idx="239">
                  <c:v>0</c:v>
                </c:pt>
                <c:pt idx="240">
                  <c:v>15474.55</c:v>
                </c:pt>
                <c:pt idx="241">
                  <c:v>0</c:v>
                </c:pt>
                <c:pt idx="242">
                  <c:v>0</c:v>
                </c:pt>
                <c:pt idx="243">
                  <c:v>37335</c:v>
                </c:pt>
                <c:pt idx="244">
                  <c:v>0</c:v>
                </c:pt>
                <c:pt idx="245">
                  <c:v>26391</c:v>
                </c:pt>
                <c:pt idx="246">
                  <c:v>0</c:v>
                </c:pt>
                <c:pt idx="247">
                  <c:v>83600</c:v>
                </c:pt>
                <c:pt idx="248">
                  <c:v>34238</c:v>
                </c:pt>
                <c:pt idx="249">
                  <c:v>50597</c:v>
                </c:pt>
                <c:pt idx="250">
                  <c:v>14204.4</c:v>
                </c:pt>
                <c:pt idx="251">
                  <c:v>30153</c:v>
                </c:pt>
                <c:pt idx="252">
                  <c:v>7908.75</c:v>
                </c:pt>
                <c:pt idx="253">
                  <c:v>40769.25</c:v>
                </c:pt>
                <c:pt idx="254">
                  <c:v>95831.25</c:v>
                </c:pt>
                <c:pt idx="255">
                  <c:v>0</c:v>
                </c:pt>
                <c:pt idx="256">
                  <c:v>53808</c:v>
                </c:pt>
                <c:pt idx="257">
                  <c:v>30001</c:v>
                </c:pt>
                <c:pt idx="258">
                  <c:v>0</c:v>
                </c:pt>
                <c:pt idx="259">
                  <c:v>83600</c:v>
                </c:pt>
                <c:pt idx="260">
                  <c:v>19627</c:v>
                </c:pt>
                <c:pt idx="261">
                  <c:v>0</c:v>
                </c:pt>
                <c:pt idx="262">
                  <c:v>26391</c:v>
                </c:pt>
                <c:pt idx="263">
                  <c:v>24035</c:v>
                </c:pt>
                <c:pt idx="264">
                  <c:v>43643</c:v>
                </c:pt>
                <c:pt idx="265">
                  <c:v>50597</c:v>
                </c:pt>
                <c:pt idx="266">
                  <c:v>3790.5</c:v>
                </c:pt>
                <c:pt idx="267">
                  <c:v>16538.55</c:v>
                </c:pt>
                <c:pt idx="268">
                  <c:v>0</c:v>
                </c:pt>
                <c:pt idx="269">
                  <c:v>0</c:v>
                </c:pt>
                <c:pt idx="270">
                  <c:v>0</c:v>
                </c:pt>
                <c:pt idx="271">
                  <c:v>0</c:v>
                </c:pt>
                <c:pt idx="272">
                  <c:v>53594.1</c:v>
                </c:pt>
                <c:pt idx="273">
                  <c:v>21009</c:v>
                </c:pt>
                <c:pt idx="274">
                  <c:v>40100.400000000001</c:v>
                </c:pt>
                <c:pt idx="275">
                  <c:v>6339.36</c:v>
                </c:pt>
                <c:pt idx="276">
                  <c:v>25932.720000000001</c:v>
                </c:pt>
                <c:pt idx="277">
                  <c:v>28623</c:v>
                </c:pt>
                <c:pt idx="278">
                  <c:v>1730.54</c:v>
                </c:pt>
                <c:pt idx="279">
                  <c:v>0</c:v>
                </c:pt>
                <c:pt idx="280">
                  <c:v>0</c:v>
                </c:pt>
                <c:pt idx="281">
                  <c:v>0</c:v>
                </c:pt>
                <c:pt idx="282">
                  <c:v>9231.74</c:v>
                </c:pt>
                <c:pt idx="283">
                  <c:v>30715.439999999999</c:v>
                </c:pt>
                <c:pt idx="284">
                  <c:v>0</c:v>
                </c:pt>
                <c:pt idx="285">
                  <c:v>25932.720000000001</c:v>
                </c:pt>
                <c:pt idx="286">
                  <c:v>0</c:v>
                </c:pt>
                <c:pt idx="287">
                  <c:v>0</c:v>
                </c:pt>
                <c:pt idx="288">
                  <c:v>0</c:v>
                </c:pt>
                <c:pt idx="289">
                  <c:v>21573</c:v>
                </c:pt>
                <c:pt idx="290">
                  <c:v>0</c:v>
                </c:pt>
                <c:pt idx="291">
                  <c:v>9856.84</c:v>
                </c:pt>
                <c:pt idx="292">
                  <c:v>0</c:v>
                </c:pt>
                <c:pt idx="293">
                  <c:v>0</c:v>
                </c:pt>
                <c:pt idx="294">
                  <c:v>40100.400000000001</c:v>
                </c:pt>
                <c:pt idx="295">
                  <c:v>9856.84</c:v>
                </c:pt>
                <c:pt idx="296">
                  <c:v>0</c:v>
                </c:pt>
                <c:pt idx="297">
                  <c:v>21112.400000000001</c:v>
                </c:pt>
                <c:pt idx="298">
                  <c:v>0</c:v>
                </c:pt>
                <c:pt idx="299">
                  <c:v>0</c:v>
                </c:pt>
                <c:pt idx="300">
                  <c:v>0</c:v>
                </c:pt>
                <c:pt idx="301">
                  <c:v>0</c:v>
                </c:pt>
                <c:pt idx="302">
                  <c:v>9231.74</c:v>
                </c:pt>
                <c:pt idx="303">
                  <c:v>0</c:v>
                </c:pt>
                <c:pt idx="304">
                  <c:v>33031.599999999999</c:v>
                </c:pt>
                <c:pt idx="305">
                  <c:v>30991.8</c:v>
                </c:pt>
                <c:pt idx="306">
                  <c:v>24576.3</c:v>
                </c:pt>
                <c:pt idx="307">
                  <c:v>16257.3</c:v>
                </c:pt>
                <c:pt idx="308">
                  <c:v>33031.599999999999</c:v>
                </c:pt>
                <c:pt idx="309">
                  <c:v>18818.8</c:v>
                </c:pt>
                <c:pt idx="310">
                  <c:v>8771.14</c:v>
                </c:pt>
                <c:pt idx="311">
                  <c:v>16257.3</c:v>
                </c:pt>
                <c:pt idx="312">
                  <c:v>8113.32</c:v>
                </c:pt>
                <c:pt idx="313">
                  <c:v>21025.439999999999</c:v>
                </c:pt>
                <c:pt idx="314">
                  <c:v>34112.400000000001</c:v>
                </c:pt>
                <c:pt idx="315">
                  <c:v>26114.400000000001</c:v>
                </c:pt>
                <c:pt idx="316">
                  <c:v>26136.720000000001</c:v>
                </c:pt>
                <c:pt idx="317">
                  <c:v>6711.81</c:v>
                </c:pt>
                <c:pt idx="318">
                  <c:v>17604.900000000001</c:v>
                </c:pt>
                <c:pt idx="319">
                  <c:v>7388.85</c:v>
                </c:pt>
                <c:pt idx="320">
                  <c:v>3560.97</c:v>
                </c:pt>
                <c:pt idx="321">
                  <c:v>10298.82</c:v>
                </c:pt>
                <c:pt idx="322">
                  <c:v>19401.66</c:v>
                </c:pt>
                <c:pt idx="323">
                  <c:v>24719.4</c:v>
                </c:pt>
                <c:pt idx="324">
                  <c:v>10298.82</c:v>
                </c:pt>
                <c:pt idx="325">
                  <c:v>7388.85</c:v>
                </c:pt>
                <c:pt idx="326">
                  <c:v>0</c:v>
                </c:pt>
                <c:pt idx="327">
                  <c:v>0</c:v>
                </c:pt>
                <c:pt idx="328">
                  <c:v>0</c:v>
                </c:pt>
                <c:pt idx="329">
                  <c:v>36753.599999999999</c:v>
                </c:pt>
                <c:pt idx="330">
                  <c:v>0</c:v>
                </c:pt>
                <c:pt idx="331">
                  <c:v>0</c:v>
                </c:pt>
                <c:pt idx="332">
                  <c:v>0</c:v>
                </c:pt>
                <c:pt idx="333">
                  <c:v>0</c:v>
                </c:pt>
                <c:pt idx="334">
                  <c:v>0</c:v>
                </c:pt>
                <c:pt idx="335">
                  <c:v>29308.95</c:v>
                </c:pt>
                <c:pt idx="336">
                  <c:v>40887.449999999997</c:v>
                </c:pt>
                <c:pt idx="337">
                  <c:v>28551</c:v>
                </c:pt>
                <c:pt idx="338">
                  <c:v>0</c:v>
                </c:pt>
                <c:pt idx="339">
                  <c:v>0</c:v>
                </c:pt>
                <c:pt idx="340">
                  <c:v>30835.08</c:v>
                </c:pt>
                <c:pt idx="341">
                  <c:v>13833.75</c:v>
                </c:pt>
                <c:pt idx="342">
                  <c:v>0</c:v>
                </c:pt>
                <c:pt idx="343">
                  <c:v>11327.4</c:v>
                </c:pt>
                <c:pt idx="344">
                  <c:v>0</c:v>
                </c:pt>
                <c:pt idx="345">
                  <c:v>36753.599999999999</c:v>
                </c:pt>
                <c:pt idx="346">
                  <c:v>26430.6</c:v>
                </c:pt>
                <c:pt idx="347">
                  <c:v>0</c:v>
                </c:pt>
                <c:pt idx="348">
                  <c:v>10936.8</c:v>
                </c:pt>
                <c:pt idx="349">
                  <c:v>36208.620000000003</c:v>
                </c:pt>
                <c:pt idx="350">
                  <c:v>0</c:v>
                </c:pt>
                <c:pt idx="351">
                  <c:v>0</c:v>
                </c:pt>
                <c:pt idx="352">
                  <c:v>0</c:v>
                </c:pt>
                <c:pt idx="353">
                  <c:v>0</c:v>
                </c:pt>
                <c:pt idx="354">
                  <c:v>0</c:v>
                </c:pt>
                <c:pt idx="355">
                  <c:v>20794.8</c:v>
                </c:pt>
                <c:pt idx="356">
                  <c:v>0</c:v>
                </c:pt>
                <c:pt idx="357">
                  <c:v>3142.72</c:v>
                </c:pt>
                <c:pt idx="358">
                  <c:v>23588.799999999999</c:v>
                </c:pt>
                <c:pt idx="359">
                  <c:v>1655.08</c:v>
                </c:pt>
                <c:pt idx="360">
                  <c:v>23588.799999999999</c:v>
                </c:pt>
                <c:pt idx="361">
                  <c:v>0</c:v>
                </c:pt>
                <c:pt idx="362">
                  <c:v>6762</c:v>
                </c:pt>
                <c:pt idx="363">
                  <c:v>0</c:v>
                </c:pt>
                <c:pt idx="364">
                  <c:v>34513.800000000003</c:v>
                </c:pt>
                <c:pt idx="365">
                  <c:v>13027.2</c:v>
                </c:pt>
                <c:pt idx="366">
                  <c:v>11868</c:v>
                </c:pt>
                <c:pt idx="367">
                  <c:v>0</c:v>
                </c:pt>
                <c:pt idx="368">
                  <c:v>0</c:v>
                </c:pt>
                <c:pt idx="369">
                  <c:v>9811.7999999999993</c:v>
                </c:pt>
                <c:pt idx="370">
                  <c:v>0</c:v>
                </c:pt>
                <c:pt idx="371">
                  <c:v>8107.96</c:v>
                </c:pt>
                <c:pt idx="372">
                  <c:v>7051.8</c:v>
                </c:pt>
                <c:pt idx="373">
                  <c:v>25134.400000000001</c:v>
                </c:pt>
                <c:pt idx="374">
                  <c:v>0</c:v>
                </c:pt>
                <c:pt idx="375">
                  <c:v>4366.32</c:v>
                </c:pt>
                <c:pt idx="376">
                  <c:v>10291.120000000001</c:v>
                </c:pt>
                <c:pt idx="377">
                  <c:v>15513.96</c:v>
                </c:pt>
                <c:pt idx="378">
                  <c:v>35585.599999999999</c:v>
                </c:pt>
                <c:pt idx="379">
                  <c:v>55071.199999999997</c:v>
                </c:pt>
                <c:pt idx="380">
                  <c:v>0</c:v>
                </c:pt>
                <c:pt idx="381">
                  <c:v>12532.24</c:v>
                </c:pt>
                <c:pt idx="382">
                  <c:v>0</c:v>
                </c:pt>
                <c:pt idx="383">
                  <c:v>6601.92</c:v>
                </c:pt>
                <c:pt idx="384">
                  <c:v>18721.080000000002</c:v>
                </c:pt>
                <c:pt idx="385">
                  <c:v>15056.72</c:v>
                </c:pt>
                <c:pt idx="386">
                  <c:v>0</c:v>
                </c:pt>
                <c:pt idx="387">
                  <c:v>0</c:v>
                </c:pt>
                <c:pt idx="388">
                  <c:v>0</c:v>
                </c:pt>
                <c:pt idx="389">
                  <c:v>15056.72</c:v>
                </c:pt>
                <c:pt idx="390">
                  <c:v>0</c:v>
                </c:pt>
                <c:pt idx="391">
                  <c:v>0</c:v>
                </c:pt>
                <c:pt idx="392">
                  <c:v>0</c:v>
                </c:pt>
                <c:pt idx="393">
                  <c:v>0</c:v>
                </c:pt>
                <c:pt idx="394">
                  <c:v>13027.2</c:v>
                </c:pt>
                <c:pt idx="395">
                  <c:v>18721.080000000002</c:v>
                </c:pt>
                <c:pt idx="396">
                  <c:v>25134.400000000001</c:v>
                </c:pt>
                <c:pt idx="397">
                  <c:v>0</c:v>
                </c:pt>
                <c:pt idx="398">
                  <c:v>27968</c:v>
                </c:pt>
                <c:pt idx="399">
                  <c:v>9811.7999999999993</c:v>
                </c:pt>
                <c:pt idx="400">
                  <c:v>15180</c:v>
                </c:pt>
                <c:pt idx="401">
                  <c:v>0</c:v>
                </c:pt>
                <c:pt idx="402">
                  <c:v>8031.6</c:v>
                </c:pt>
                <c:pt idx="403">
                  <c:v>0</c:v>
                </c:pt>
                <c:pt idx="404">
                  <c:v>4007.64</c:v>
                </c:pt>
                <c:pt idx="405">
                  <c:v>0</c:v>
                </c:pt>
                <c:pt idx="406">
                  <c:v>0</c:v>
                </c:pt>
                <c:pt idx="407">
                  <c:v>87906</c:v>
                </c:pt>
                <c:pt idx="408">
                  <c:v>25345.32</c:v>
                </c:pt>
                <c:pt idx="409">
                  <c:v>0</c:v>
                </c:pt>
                <c:pt idx="410">
                  <c:v>10262.07</c:v>
                </c:pt>
                <c:pt idx="411">
                  <c:v>0</c:v>
                </c:pt>
                <c:pt idx="412">
                  <c:v>91182</c:v>
                </c:pt>
                <c:pt idx="413">
                  <c:v>0</c:v>
                </c:pt>
                <c:pt idx="414">
                  <c:v>0</c:v>
                </c:pt>
                <c:pt idx="415">
                  <c:v>50163.75</c:v>
                </c:pt>
                <c:pt idx="416">
                  <c:v>0</c:v>
                </c:pt>
                <c:pt idx="417">
                  <c:v>16748.55</c:v>
                </c:pt>
                <c:pt idx="418">
                  <c:v>4007.64</c:v>
                </c:pt>
                <c:pt idx="419">
                  <c:v>0</c:v>
                </c:pt>
                <c:pt idx="420">
                  <c:v>19383</c:v>
                </c:pt>
                <c:pt idx="421">
                  <c:v>0</c:v>
                </c:pt>
                <c:pt idx="422">
                  <c:v>3344.25</c:v>
                </c:pt>
                <c:pt idx="423">
                  <c:v>0</c:v>
                </c:pt>
                <c:pt idx="424">
                  <c:v>0</c:v>
                </c:pt>
                <c:pt idx="425">
                  <c:v>64496.25</c:v>
                </c:pt>
                <c:pt idx="426">
                  <c:v>0</c:v>
                </c:pt>
                <c:pt idx="427">
                  <c:v>0</c:v>
                </c:pt>
                <c:pt idx="428">
                  <c:v>21359.52</c:v>
                </c:pt>
                <c:pt idx="429">
                  <c:v>0</c:v>
                </c:pt>
                <c:pt idx="430">
                  <c:v>0</c:v>
                </c:pt>
                <c:pt idx="431">
                  <c:v>9609.6</c:v>
                </c:pt>
                <c:pt idx="432">
                  <c:v>0</c:v>
                </c:pt>
                <c:pt idx="433">
                  <c:v>24395.279999999999</c:v>
                </c:pt>
                <c:pt idx="434">
                  <c:v>16748.55</c:v>
                </c:pt>
                <c:pt idx="435">
                  <c:v>99758.75</c:v>
                </c:pt>
                <c:pt idx="436">
                  <c:v>0</c:v>
                </c:pt>
                <c:pt idx="437">
                  <c:v>0</c:v>
                </c:pt>
                <c:pt idx="438">
                  <c:v>13240.5</c:v>
                </c:pt>
                <c:pt idx="439">
                  <c:v>30830.799999999999</c:v>
                </c:pt>
                <c:pt idx="440">
                  <c:v>12066.6</c:v>
                </c:pt>
                <c:pt idx="441">
                  <c:v>5217.03</c:v>
                </c:pt>
                <c:pt idx="442">
                  <c:v>17253.599999999999</c:v>
                </c:pt>
                <c:pt idx="443">
                  <c:v>3318.77</c:v>
                </c:pt>
                <c:pt idx="444">
                  <c:v>17708.599999999999</c:v>
                </c:pt>
                <c:pt idx="445">
                  <c:v>18891.599999999999</c:v>
                </c:pt>
                <c:pt idx="446">
                  <c:v>2293.1999999999998</c:v>
                </c:pt>
                <c:pt idx="447">
                  <c:v>21479.64</c:v>
                </c:pt>
                <c:pt idx="448">
                  <c:v>35872.199999999997</c:v>
                </c:pt>
                <c:pt idx="449">
                  <c:v>2293.1999999999998</c:v>
                </c:pt>
                <c:pt idx="450">
                  <c:v>48812.4</c:v>
                </c:pt>
                <c:pt idx="451">
                  <c:v>3318.77</c:v>
                </c:pt>
                <c:pt idx="452">
                  <c:v>18891.599999999999</c:v>
                </c:pt>
                <c:pt idx="453">
                  <c:v>22256.33</c:v>
                </c:pt>
                <c:pt idx="454">
                  <c:v>3341.52</c:v>
                </c:pt>
                <c:pt idx="455">
                  <c:v>4168.8</c:v>
                </c:pt>
                <c:pt idx="456">
                  <c:v>14666.4</c:v>
                </c:pt>
                <c:pt idx="457">
                  <c:v>4168.8</c:v>
                </c:pt>
                <c:pt idx="458">
                  <c:v>0</c:v>
                </c:pt>
                <c:pt idx="459">
                  <c:v>0</c:v>
                </c:pt>
                <c:pt idx="460">
                  <c:v>0</c:v>
                </c:pt>
                <c:pt idx="461">
                  <c:v>0</c:v>
                </c:pt>
                <c:pt idx="462">
                  <c:v>27972</c:v>
                </c:pt>
                <c:pt idx="463">
                  <c:v>35172</c:v>
                </c:pt>
                <c:pt idx="464">
                  <c:v>0</c:v>
                </c:pt>
                <c:pt idx="465">
                  <c:v>29254.5</c:v>
                </c:pt>
                <c:pt idx="466">
                  <c:v>4338</c:v>
                </c:pt>
                <c:pt idx="467">
                  <c:v>9193.5</c:v>
                </c:pt>
                <c:pt idx="468">
                  <c:v>6885</c:v>
                </c:pt>
                <c:pt idx="469">
                  <c:v>10665</c:v>
                </c:pt>
                <c:pt idx="470">
                  <c:v>0</c:v>
                </c:pt>
                <c:pt idx="471">
                  <c:v>0</c:v>
                </c:pt>
                <c:pt idx="472">
                  <c:v>0</c:v>
                </c:pt>
                <c:pt idx="473">
                  <c:v>4338</c:v>
                </c:pt>
                <c:pt idx="474">
                  <c:v>16789.5</c:v>
                </c:pt>
                <c:pt idx="475">
                  <c:v>0</c:v>
                </c:pt>
                <c:pt idx="476">
                  <c:v>0</c:v>
                </c:pt>
                <c:pt idx="477">
                  <c:v>38362.5</c:v>
                </c:pt>
                <c:pt idx="478">
                  <c:v>8653.5</c:v>
                </c:pt>
                <c:pt idx="479">
                  <c:v>0</c:v>
                </c:pt>
                <c:pt idx="480">
                  <c:v>0</c:v>
                </c:pt>
                <c:pt idx="481">
                  <c:v>0</c:v>
                </c:pt>
                <c:pt idx="482">
                  <c:v>29254.5</c:v>
                </c:pt>
                <c:pt idx="483">
                  <c:v>0</c:v>
                </c:pt>
                <c:pt idx="484">
                  <c:v>0</c:v>
                </c:pt>
                <c:pt idx="485">
                  <c:v>65137.5</c:v>
                </c:pt>
                <c:pt idx="486">
                  <c:v>0</c:v>
                </c:pt>
                <c:pt idx="487">
                  <c:v>0</c:v>
                </c:pt>
                <c:pt idx="488">
                  <c:v>38021.4</c:v>
                </c:pt>
                <c:pt idx="489">
                  <c:v>36702</c:v>
                </c:pt>
                <c:pt idx="490">
                  <c:v>27799.200000000001</c:v>
                </c:pt>
                <c:pt idx="491">
                  <c:v>0</c:v>
                </c:pt>
                <c:pt idx="492">
                  <c:v>27972</c:v>
                </c:pt>
                <c:pt idx="493">
                  <c:v>0</c:v>
                </c:pt>
                <c:pt idx="494">
                  <c:v>12794.64</c:v>
                </c:pt>
                <c:pt idx="495">
                  <c:v>15774.36</c:v>
                </c:pt>
                <c:pt idx="496">
                  <c:v>12794.64</c:v>
                </c:pt>
                <c:pt idx="497">
                  <c:v>5126.3999999999996</c:v>
                </c:pt>
                <c:pt idx="498">
                  <c:v>5040.96</c:v>
                </c:pt>
                <c:pt idx="499">
                  <c:v>9837.17</c:v>
                </c:pt>
                <c:pt idx="500">
                  <c:v>10733.4</c:v>
                </c:pt>
                <c:pt idx="501">
                  <c:v>42713.33</c:v>
                </c:pt>
                <c:pt idx="502">
                  <c:v>5040.96</c:v>
                </c:pt>
                <c:pt idx="503">
                  <c:v>20687.16</c:v>
                </c:pt>
                <c:pt idx="504">
                  <c:v>0</c:v>
                </c:pt>
                <c:pt idx="505">
                  <c:v>0</c:v>
                </c:pt>
                <c:pt idx="506">
                  <c:v>0</c:v>
                </c:pt>
                <c:pt idx="507">
                  <c:v>20826</c:v>
                </c:pt>
                <c:pt idx="508">
                  <c:v>16858.38</c:v>
                </c:pt>
                <c:pt idx="509">
                  <c:v>0</c:v>
                </c:pt>
                <c:pt idx="510">
                  <c:v>53257.599999999999</c:v>
                </c:pt>
                <c:pt idx="511">
                  <c:v>28795.95</c:v>
                </c:pt>
                <c:pt idx="512">
                  <c:v>0</c:v>
                </c:pt>
                <c:pt idx="513">
                  <c:v>19971.599999999999</c:v>
                </c:pt>
                <c:pt idx="514">
                  <c:v>0</c:v>
                </c:pt>
                <c:pt idx="515">
                  <c:v>42997.68</c:v>
                </c:pt>
                <c:pt idx="516">
                  <c:v>25904.34</c:v>
                </c:pt>
                <c:pt idx="517">
                  <c:v>42613.2</c:v>
                </c:pt>
                <c:pt idx="518">
                  <c:v>26486.400000000001</c:v>
                </c:pt>
                <c:pt idx="519">
                  <c:v>0</c:v>
                </c:pt>
                <c:pt idx="520">
                  <c:v>53257.599999999999</c:v>
                </c:pt>
                <c:pt idx="521">
                  <c:v>0</c:v>
                </c:pt>
                <c:pt idx="522">
                  <c:v>49929</c:v>
                </c:pt>
                <c:pt idx="523">
                  <c:v>8744.25</c:v>
                </c:pt>
                <c:pt idx="524">
                  <c:v>0</c:v>
                </c:pt>
                <c:pt idx="525">
                  <c:v>11263.84</c:v>
                </c:pt>
                <c:pt idx="526">
                  <c:v>18519.12</c:v>
                </c:pt>
                <c:pt idx="527">
                  <c:v>61632.5</c:v>
                </c:pt>
                <c:pt idx="528">
                  <c:v>52243</c:v>
                </c:pt>
                <c:pt idx="529">
                  <c:v>0</c:v>
                </c:pt>
                <c:pt idx="530">
                  <c:v>46796.2</c:v>
                </c:pt>
                <c:pt idx="531">
                  <c:v>0</c:v>
                </c:pt>
                <c:pt idx="532">
                  <c:v>0</c:v>
                </c:pt>
                <c:pt idx="533">
                  <c:v>0</c:v>
                </c:pt>
                <c:pt idx="534">
                  <c:v>28795.95</c:v>
                </c:pt>
                <c:pt idx="535">
                  <c:v>2367.4</c:v>
                </c:pt>
                <c:pt idx="536">
                  <c:v>0</c:v>
                </c:pt>
                <c:pt idx="537">
                  <c:v>0</c:v>
                </c:pt>
                <c:pt idx="538">
                  <c:v>0</c:v>
                </c:pt>
                <c:pt idx="539">
                  <c:v>35494.800000000003</c:v>
                </c:pt>
                <c:pt idx="540">
                  <c:v>8936.4</c:v>
                </c:pt>
                <c:pt idx="541">
                  <c:v>0</c:v>
                </c:pt>
                <c:pt idx="542">
                  <c:v>14907.2</c:v>
                </c:pt>
                <c:pt idx="543">
                  <c:v>16841.439999999999</c:v>
                </c:pt>
                <c:pt idx="544">
                  <c:v>30184</c:v>
                </c:pt>
                <c:pt idx="545">
                  <c:v>0</c:v>
                </c:pt>
                <c:pt idx="546">
                  <c:v>0</c:v>
                </c:pt>
                <c:pt idx="547">
                  <c:v>0</c:v>
                </c:pt>
                <c:pt idx="548">
                  <c:v>0</c:v>
                </c:pt>
                <c:pt idx="549">
                  <c:v>15928</c:v>
                </c:pt>
                <c:pt idx="550">
                  <c:v>30184</c:v>
                </c:pt>
                <c:pt idx="551">
                  <c:v>0</c:v>
                </c:pt>
                <c:pt idx="552">
                  <c:v>0</c:v>
                </c:pt>
                <c:pt idx="553">
                  <c:v>0</c:v>
                </c:pt>
                <c:pt idx="554">
                  <c:v>0</c:v>
                </c:pt>
                <c:pt idx="555">
                  <c:v>5016</c:v>
                </c:pt>
                <c:pt idx="556">
                  <c:v>21700.799999999999</c:v>
                </c:pt>
                <c:pt idx="557">
                  <c:v>0</c:v>
                </c:pt>
                <c:pt idx="558">
                  <c:v>0</c:v>
                </c:pt>
                <c:pt idx="559">
                  <c:v>15928</c:v>
                </c:pt>
                <c:pt idx="560">
                  <c:v>22271.040000000001</c:v>
                </c:pt>
                <c:pt idx="561">
                  <c:v>51143.4</c:v>
                </c:pt>
                <c:pt idx="562">
                  <c:v>0</c:v>
                </c:pt>
                <c:pt idx="563">
                  <c:v>0</c:v>
                </c:pt>
                <c:pt idx="564">
                  <c:v>0</c:v>
                </c:pt>
                <c:pt idx="565">
                  <c:v>21700.799999999999</c:v>
                </c:pt>
                <c:pt idx="566">
                  <c:v>83160</c:v>
                </c:pt>
                <c:pt idx="567">
                  <c:v>21076.44</c:v>
                </c:pt>
                <c:pt idx="568">
                  <c:v>16841.439999999999</c:v>
                </c:pt>
                <c:pt idx="569">
                  <c:v>33633.599999999999</c:v>
                </c:pt>
                <c:pt idx="570">
                  <c:v>44378.400000000001</c:v>
                </c:pt>
                <c:pt idx="571">
                  <c:v>28100.16</c:v>
                </c:pt>
                <c:pt idx="572">
                  <c:v>26945.599999999999</c:v>
                </c:pt>
                <c:pt idx="573">
                  <c:v>9184.56</c:v>
                </c:pt>
                <c:pt idx="574">
                  <c:v>26945.599999999999</c:v>
                </c:pt>
                <c:pt idx="575">
                  <c:v>29156.16</c:v>
                </c:pt>
                <c:pt idx="576">
                  <c:v>33499.35</c:v>
                </c:pt>
                <c:pt idx="577">
                  <c:v>33499.35</c:v>
                </c:pt>
                <c:pt idx="578">
                  <c:v>0</c:v>
                </c:pt>
                <c:pt idx="579">
                  <c:v>0</c:v>
                </c:pt>
                <c:pt idx="580">
                  <c:v>7690.8</c:v>
                </c:pt>
                <c:pt idx="581">
                  <c:v>0</c:v>
                </c:pt>
                <c:pt idx="582">
                  <c:v>7904.82</c:v>
                </c:pt>
                <c:pt idx="583">
                  <c:v>6305.76</c:v>
                </c:pt>
                <c:pt idx="584">
                  <c:v>39237</c:v>
                </c:pt>
                <c:pt idx="585">
                  <c:v>21732.6</c:v>
                </c:pt>
                <c:pt idx="586">
                  <c:v>8760.4699999999993</c:v>
                </c:pt>
                <c:pt idx="587">
                  <c:v>0</c:v>
                </c:pt>
                <c:pt idx="588">
                  <c:v>45953.4</c:v>
                </c:pt>
                <c:pt idx="589">
                  <c:v>47119.199999999997</c:v>
                </c:pt>
                <c:pt idx="590">
                  <c:v>0</c:v>
                </c:pt>
                <c:pt idx="591">
                  <c:v>0</c:v>
                </c:pt>
                <c:pt idx="592">
                  <c:v>5961.24</c:v>
                </c:pt>
                <c:pt idx="593">
                  <c:v>16418.64</c:v>
                </c:pt>
                <c:pt idx="594">
                  <c:v>20423.25</c:v>
                </c:pt>
                <c:pt idx="595">
                  <c:v>21732.6</c:v>
                </c:pt>
                <c:pt idx="596">
                  <c:v>0</c:v>
                </c:pt>
                <c:pt idx="597">
                  <c:v>10575.72</c:v>
                </c:pt>
                <c:pt idx="598">
                  <c:v>52167.38</c:v>
                </c:pt>
                <c:pt idx="599">
                  <c:v>0</c:v>
                </c:pt>
                <c:pt idx="600">
                  <c:v>7247.1</c:v>
                </c:pt>
                <c:pt idx="601">
                  <c:v>6305.76</c:v>
                </c:pt>
                <c:pt idx="602">
                  <c:v>8613</c:v>
                </c:pt>
                <c:pt idx="603">
                  <c:v>4280.3999999999996</c:v>
                </c:pt>
                <c:pt idx="604">
                  <c:v>0</c:v>
                </c:pt>
                <c:pt idx="605">
                  <c:v>10575.72</c:v>
                </c:pt>
                <c:pt idx="606">
                  <c:v>0</c:v>
                </c:pt>
                <c:pt idx="607">
                  <c:v>20423.25</c:v>
                </c:pt>
                <c:pt idx="608">
                  <c:v>0</c:v>
                </c:pt>
                <c:pt idx="609">
                  <c:v>7247.1</c:v>
                </c:pt>
                <c:pt idx="610">
                  <c:v>4280.3999999999996</c:v>
                </c:pt>
                <c:pt idx="611">
                  <c:v>18478.8</c:v>
                </c:pt>
                <c:pt idx="612">
                  <c:v>44358.8</c:v>
                </c:pt>
                <c:pt idx="613">
                  <c:v>29979.599999999999</c:v>
                </c:pt>
                <c:pt idx="614">
                  <c:v>18035.919999999998</c:v>
                </c:pt>
                <c:pt idx="615">
                  <c:v>1685.6</c:v>
                </c:pt>
                <c:pt idx="616">
                  <c:v>1763.86</c:v>
                </c:pt>
                <c:pt idx="617">
                  <c:v>18035.919999999998</c:v>
                </c:pt>
                <c:pt idx="618">
                  <c:v>3586.2</c:v>
                </c:pt>
                <c:pt idx="619">
                  <c:v>41761.599999999999</c:v>
                </c:pt>
                <c:pt idx="620">
                  <c:v>22794.3</c:v>
                </c:pt>
                <c:pt idx="621">
                  <c:v>14375.76</c:v>
                </c:pt>
                <c:pt idx="622">
                  <c:v>1685.6</c:v>
                </c:pt>
                <c:pt idx="623">
                  <c:v>14375.76</c:v>
                </c:pt>
                <c:pt idx="624">
                  <c:v>20794.8</c:v>
                </c:pt>
                <c:pt idx="625">
                  <c:v>0</c:v>
                </c:pt>
                <c:pt idx="626">
                  <c:v>0</c:v>
                </c:pt>
                <c:pt idx="627">
                  <c:v>0</c:v>
                </c:pt>
                <c:pt idx="628">
                  <c:v>0</c:v>
                </c:pt>
                <c:pt idx="629">
                  <c:v>19517.7</c:v>
                </c:pt>
                <c:pt idx="630">
                  <c:v>29670</c:v>
                </c:pt>
                <c:pt idx="631">
                  <c:v>0</c:v>
                </c:pt>
                <c:pt idx="632">
                  <c:v>0</c:v>
                </c:pt>
                <c:pt idx="633">
                  <c:v>0</c:v>
                </c:pt>
                <c:pt idx="634">
                  <c:v>60200</c:v>
                </c:pt>
                <c:pt idx="635">
                  <c:v>2335.7600000000002</c:v>
                </c:pt>
                <c:pt idx="636">
                  <c:v>10396.540000000001</c:v>
                </c:pt>
                <c:pt idx="637">
                  <c:v>29670</c:v>
                </c:pt>
                <c:pt idx="638">
                  <c:v>4472</c:v>
                </c:pt>
                <c:pt idx="639">
                  <c:v>31863</c:v>
                </c:pt>
                <c:pt idx="640">
                  <c:v>22484.7</c:v>
                </c:pt>
                <c:pt idx="641">
                  <c:v>30072.48</c:v>
                </c:pt>
                <c:pt idx="642">
                  <c:v>10420.620000000001</c:v>
                </c:pt>
                <c:pt idx="643">
                  <c:v>0</c:v>
                </c:pt>
                <c:pt idx="644">
                  <c:v>22931.040000000001</c:v>
                </c:pt>
                <c:pt idx="645">
                  <c:v>0</c:v>
                </c:pt>
                <c:pt idx="646">
                  <c:v>0</c:v>
                </c:pt>
                <c:pt idx="647">
                  <c:v>0</c:v>
                </c:pt>
                <c:pt idx="648">
                  <c:v>10423.200000000001</c:v>
                </c:pt>
                <c:pt idx="649">
                  <c:v>0</c:v>
                </c:pt>
                <c:pt idx="650">
                  <c:v>69402</c:v>
                </c:pt>
                <c:pt idx="651">
                  <c:v>0</c:v>
                </c:pt>
                <c:pt idx="652">
                  <c:v>17476.060000000001</c:v>
                </c:pt>
                <c:pt idx="653">
                  <c:v>0</c:v>
                </c:pt>
                <c:pt idx="654">
                  <c:v>69402</c:v>
                </c:pt>
                <c:pt idx="655">
                  <c:v>0</c:v>
                </c:pt>
                <c:pt idx="656">
                  <c:v>0</c:v>
                </c:pt>
                <c:pt idx="657">
                  <c:v>0</c:v>
                </c:pt>
                <c:pt idx="658">
                  <c:v>0</c:v>
                </c:pt>
                <c:pt idx="659">
                  <c:v>0</c:v>
                </c:pt>
                <c:pt idx="660">
                  <c:v>25542</c:v>
                </c:pt>
                <c:pt idx="661">
                  <c:v>22484.7</c:v>
                </c:pt>
                <c:pt idx="662">
                  <c:v>30072.48</c:v>
                </c:pt>
                <c:pt idx="663">
                  <c:v>10420.620000000001</c:v>
                </c:pt>
                <c:pt idx="664">
                  <c:v>10396.540000000001</c:v>
                </c:pt>
                <c:pt idx="665">
                  <c:v>24123</c:v>
                </c:pt>
                <c:pt idx="666">
                  <c:v>0</c:v>
                </c:pt>
                <c:pt idx="667">
                  <c:v>0</c:v>
                </c:pt>
                <c:pt idx="668">
                  <c:v>0</c:v>
                </c:pt>
                <c:pt idx="669">
                  <c:v>0</c:v>
                </c:pt>
                <c:pt idx="670">
                  <c:v>19686</c:v>
                </c:pt>
                <c:pt idx="671">
                  <c:v>20578.5</c:v>
                </c:pt>
                <c:pt idx="672">
                  <c:v>15083.25</c:v>
                </c:pt>
                <c:pt idx="673">
                  <c:v>0</c:v>
                </c:pt>
                <c:pt idx="674">
                  <c:v>32627.25</c:v>
                </c:pt>
                <c:pt idx="675">
                  <c:v>4539</c:v>
                </c:pt>
                <c:pt idx="676">
                  <c:v>0</c:v>
                </c:pt>
                <c:pt idx="677">
                  <c:v>14981.25</c:v>
                </c:pt>
                <c:pt idx="678">
                  <c:v>0</c:v>
                </c:pt>
                <c:pt idx="679">
                  <c:v>0</c:v>
                </c:pt>
                <c:pt idx="680">
                  <c:v>9322.7999999999993</c:v>
                </c:pt>
                <c:pt idx="681">
                  <c:v>4981</c:v>
                </c:pt>
                <c:pt idx="682">
                  <c:v>5100</c:v>
                </c:pt>
                <c:pt idx="683">
                  <c:v>36031.5</c:v>
                </c:pt>
                <c:pt idx="684">
                  <c:v>70443.75</c:v>
                </c:pt>
                <c:pt idx="685">
                  <c:v>0</c:v>
                </c:pt>
                <c:pt idx="686">
                  <c:v>0</c:v>
                </c:pt>
                <c:pt idx="687">
                  <c:v>9322.7999999999993</c:v>
                </c:pt>
                <c:pt idx="688">
                  <c:v>14713.5</c:v>
                </c:pt>
                <c:pt idx="689">
                  <c:v>6273</c:v>
                </c:pt>
                <c:pt idx="690">
                  <c:v>4539</c:v>
                </c:pt>
                <c:pt idx="691">
                  <c:v>14981.25</c:v>
                </c:pt>
                <c:pt idx="692">
                  <c:v>0</c:v>
                </c:pt>
                <c:pt idx="693">
                  <c:v>58650</c:v>
                </c:pt>
                <c:pt idx="694">
                  <c:v>4981</c:v>
                </c:pt>
                <c:pt idx="695">
                  <c:v>0</c:v>
                </c:pt>
                <c:pt idx="696">
                  <c:v>0</c:v>
                </c:pt>
                <c:pt idx="697">
                  <c:v>8139.6</c:v>
                </c:pt>
                <c:pt idx="698">
                  <c:v>4301.8500000000004</c:v>
                </c:pt>
                <c:pt idx="699">
                  <c:v>18421.2</c:v>
                </c:pt>
              </c:numCache>
            </c:numRef>
          </c:yVal>
          <c:bubbleSize>
            <c:numRef>
              <c:f>Sheet1!$I$4:$I$703</c:f>
              <c:numCache>
                <c:formatCode>#,##0.00</c:formatCode>
                <c:ptCount val="700"/>
                <c:pt idx="0">
                  <c:v>16185</c:v>
                </c:pt>
                <c:pt idx="1">
                  <c:v>13210</c:v>
                </c:pt>
                <c:pt idx="2">
                  <c:v>21780</c:v>
                </c:pt>
                <c:pt idx="3">
                  <c:v>8880</c:v>
                </c:pt>
                <c:pt idx="4">
                  <c:v>24700</c:v>
                </c:pt>
                <c:pt idx="5">
                  <c:v>0</c:v>
                </c:pt>
                <c:pt idx="6">
                  <c:v>9210</c:v>
                </c:pt>
                <c:pt idx="7">
                  <c:v>7554</c:v>
                </c:pt>
                <c:pt idx="8">
                  <c:v>18990</c:v>
                </c:pt>
                <c:pt idx="9">
                  <c:v>4635</c:v>
                </c:pt>
                <c:pt idx="10">
                  <c:v>24700</c:v>
                </c:pt>
                <c:pt idx="11">
                  <c:v>0</c:v>
                </c:pt>
                <c:pt idx="12">
                  <c:v>0</c:v>
                </c:pt>
                <c:pt idx="13">
                  <c:v>10730</c:v>
                </c:pt>
                <c:pt idx="14">
                  <c:v>41400</c:v>
                </c:pt>
                <c:pt idx="15">
                  <c:v>6150</c:v>
                </c:pt>
                <c:pt idx="16">
                  <c:v>2920</c:v>
                </c:pt>
                <c:pt idx="17">
                  <c:v>9740</c:v>
                </c:pt>
                <c:pt idx="18">
                  <c:v>7554</c:v>
                </c:pt>
                <c:pt idx="19">
                  <c:v>0</c:v>
                </c:pt>
                <c:pt idx="20">
                  <c:v>1101</c:v>
                </c:pt>
                <c:pt idx="21">
                  <c:v>4415</c:v>
                </c:pt>
                <c:pt idx="22">
                  <c:v>5490</c:v>
                </c:pt>
                <c:pt idx="23">
                  <c:v>0</c:v>
                </c:pt>
                <c:pt idx="24">
                  <c:v>24720</c:v>
                </c:pt>
                <c:pt idx="25">
                  <c:v>5715</c:v>
                </c:pt>
                <c:pt idx="26">
                  <c:v>0</c:v>
                </c:pt>
                <c:pt idx="27">
                  <c:v>2736</c:v>
                </c:pt>
                <c:pt idx="28">
                  <c:v>21520</c:v>
                </c:pt>
                <c:pt idx="29">
                  <c:v>18170</c:v>
                </c:pt>
                <c:pt idx="30">
                  <c:v>0</c:v>
                </c:pt>
                <c:pt idx="31">
                  <c:v>7465</c:v>
                </c:pt>
                <c:pt idx="32">
                  <c:v>0</c:v>
                </c:pt>
                <c:pt idx="33">
                  <c:v>6483</c:v>
                </c:pt>
                <c:pt idx="34">
                  <c:v>0</c:v>
                </c:pt>
                <c:pt idx="35">
                  <c:v>4635</c:v>
                </c:pt>
                <c:pt idx="36">
                  <c:v>0</c:v>
                </c:pt>
                <c:pt idx="37">
                  <c:v>41400</c:v>
                </c:pt>
                <c:pt idx="38">
                  <c:v>0</c:v>
                </c:pt>
                <c:pt idx="39">
                  <c:v>8514</c:v>
                </c:pt>
                <c:pt idx="40">
                  <c:v>21780</c:v>
                </c:pt>
                <c:pt idx="41">
                  <c:v>8880</c:v>
                </c:pt>
                <c:pt idx="42">
                  <c:v>0</c:v>
                </c:pt>
                <c:pt idx="43">
                  <c:v>0</c:v>
                </c:pt>
                <c:pt idx="44">
                  <c:v>18170</c:v>
                </c:pt>
                <c:pt idx="45">
                  <c:v>0</c:v>
                </c:pt>
                <c:pt idx="46">
                  <c:v>5859</c:v>
                </c:pt>
                <c:pt idx="47">
                  <c:v>0</c:v>
                </c:pt>
                <c:pt idx="48">
                  <c:v>18990</c:v>
                </c:pt>
                <c:pt idx="49">
                  <c:v>8430</c:v>
                </c:pt>
                <c:pt idx="50">
                  <c:v>6423</c:v>
                </c:pt>
                <c:pt idx="51">
                  <c:v>5715</c:v>
                </c:pt>
                <c:pt idx="52">
                  <c:v>6150</c:v>
                </c:pt>
                <c:pt idx="53">
                  <c:v>19725</c:v>
                </c:pt>
                <c:pt idx="54">
                  <c:v>22960</c:v>
                </c:pt>
                <c:pt idx="55">
                  <c:v>5150</c:v>
                </c:pt>
                <c:pt idx="56">
                  <c:v>3195</c:v>
                </c:pt>
                <c:pt idx="57">
                  <c:v>6630</c:v>
                </c:pt>
                <c:pt idx="58">
                  <c:v>5574</c:v>
                </c:pt>
                <c:pt idx="59">
                  <c:v>0</c:v>
                </c:pt>
                <c:pt idx="60">
                  <c:v>12645</c:v>
                </c:pt>
                <c:pt idx="61">
                  <c:v>4335</c:v>
                </c:pt>
                <c:pt idx="62">
                  <c:v>39600</c:v>
                </c:pt>
                <c:pt idx="63">
                  <c:v>8013</c:v>
                </c:pt>
                <c:pt idx="64">
                  <c:v>2298</c:v>
                </c:pt>
                <c:pt idx="65">
                  <c:v>0</c:v>
                </c:pt>
                <c:pt idx="66">
                  <c:v>0</c:v>
                </c:pt>
                <c:pt idx="67">
                  <c:v>0</c:v>
                </c:pt>
                <c:pt idx="68">
                  <c:v>22140</c:v>
                </c:pt>
                <c:pt idx="69">
                  <c:v>0</c:v>
                </c:pt>
                <c:pt idx="70">
                  <c:v>13755</c:v>
                </c:pt>
                <c:pt idx="71">
                  <c:v>9150</c:v>
                </c:pt>
                <c:pt idx="72">
                  <c:v>0</c:v>
                </c:pt>
                <c:pt idx="73">
                  <c:v>79560</c:v>
                </c:pt>
                <c:pt idx="74">
                  <c:v>15140</c:v>
                </c:pt>
                <c:pt idx="75">
                  <c:v>22462.5</c:v>
                </c:pt>
                <c:pt idx="76">
                  <c:v>87240</c:v>
                </c:pt>
                <c:pt idx="77">
                  <c:v>94440</c:v>
                </c:pt>
                <c:pt idx="78">
                  <c:v>0</c:v>
                </c:pt>
                <c:pt idx="79">
                  <c:v>7470</c:v>
                </c:pt>
                <c:pt idx="80">
                  <c:v>2298</c:v>
                </c:pt>
                <c:pt idx="81">
                  <c:v>0</c:v>
                </c:pt>
                <c:pt idx="82">
                  <c:v>0</c:v>
                </c:pt>
                <c:pt idx="83">
                  <c:v>38640</c:v>
                </c:pt>
                <c:pt idx="84">
                  <c:v>1810</c:v>
                </c:pt>
                <c:pt idx="85">
                  <c:v>0</c:v>
                </c:pt>
                <c:pt idx="86">
                  <c:v>79560</c:v>
                </c:pt>
                <c:pt idx="87">
                  <c:v>10460</c:v>
                </c:pt>
                <c:pt idx="88">
                  <c:v>1315</c:v>
                </c:pt>
                <c:pt idx="89">
                  <c:v>0</c:v>
                </c:pt>
                <c:pt idx="90">
                  <c:v>87240</c:v>
                </c:pt>
                <c:pt idx="91">
                  <c:v>94440</c:v>
                </c:pt>
                <c:pt idx="92">
                  <c:v>0</c:v>
                </c:pt>
                <c:pt idx="93">
                  <c:v>0</c:v>
                </c:pt>
                <c:pt idx="94">
                  <c:v>0</c:v>
                </c:pt>
                <c:pt idx="95">
                  <c:v>0</c:v>
                </c:pt>
                <c:pt idx="96">
                  <c:v>5967</c:v>
                </c:pt>
                <c:pt idx="97">
                  <c:v>3210</c:v>
                </c:pt>
                <c:pt idx="98">
                  <c:v>89100</c:v>
                </c:pt>
                <c:pt idx="99">
                  <c:v>3885</c:v>
                </c:pt>
                <c:pt idx="100">
                  <c:v>53500</c:v>
                </c:pt>
                <c:pt idx="101">
                  <c:v>10725</c:v>
                </c:pt>
                <c:pt idx="102">
                  <c:v>0</c:v>
                </c:pt>
                <c:pt idx="103">
                  <c:v>3426</c:v>
                </c:pt>
                <c:pt idx="104">
                  <c:v>15660</c:v>
                </c:pt>
                <c:pt idx="105">
                  <c:v>2070</c:v>
                </c:pt>
                <c:pt idx="106">
                  <c:v>0</c:v>
                </c:pt>
                <c:pt idx="107">
                  <c:v>23630</c:v>
                </c:pt>
                <c:pt idx="108">
                  <c:v>0</c:v>
                </c:pt>
                <c:pt idx="109">
                  <c:v>0</c:v>
                </c:pt>
                <c:pt idx="110">
                  <c:v>3426</c:v>
                </c:pt>
                <c:pt idx="111">
                  <c:v>79440</c:v>
                </c:pt>
                <c:pt idx="112">
                  <c:v>3885</c:v>
                </c:pt>
                <c:pt idx="113">
                  <c:v>97080</c:v>
                </c:pt>
                <c:pt idx="114">
                  <c:v>0</c:v>
                </c:pt>
                <c:pt idx="115">
                  <c:v>5355</c:v>
                </c:pt>
                <c:pt idx="116">
                  <c:v>0</c:v>
                </c:pt>
                <c:pt idx="117">
                  <c:v>0</c:v>
                </c:pt>
                <c:pt idx="118">
                  <c:v>0</c:v>
                </c:pt>
                <c:pt idx="119">
                  <c:v>19250</c:v>
                </c:pt>
                <c:pt idx="120">
                  <c:v>10065</c:v>
                </c:pt>
                <c:pt idx="121">
                  <c:v>3165</c:v>
                </c:pt>
                <c:pt idx="122">
                  <c:v>3252</c:v>
                </c:pt>
                <c:pt idx="123">
                  <c:v>15660</c:v>
                </c:pt>
                <c:pt idx="124">
                  <c:v>0</c:v>
                </c:pt>
                <c:pt idx="125">
                  <c:v>0</c:v>
                </c:pt>
                <c:pt idx="126">
                  <c:v>97080</c:v>
                </c:pt>
                <c:pt idx="127">
                  <c:v>0</c:v>
                </c:pt>
                <c:pt idx="128">
                  <c:v>3165</c:v>
                </c:pt>
                <c:pt idx="129">
                  <c:v>5440</c:v>
                </c:pt>
                <c:pt idx="130">
                  <c:v>3252</c:v>
                </c:pt>
                <c:pt idx="131">
                  <c:v>79440</c:v>
                </c:pt>
                <c:pt idx="132">
                  <c:v>53500</c:v>
                </c:pt>
                <c:pt idx="133">
                  <c:v>0</c:v>
                </c:pt>
                <c:pt idx="134">
                  <c:v>0</c:v>
                </c:pt>
                <c:pt idx="135">
                  <c:v>69160</c:v>
                </c:pt>
                <c:pt idx="136">
                  <c:v>0</c:v>
                </c:pt>
                <c:pt idx="137">
                  <c:v>64750</c:v>
                </c:pt>
                <c:pt idx="138">
                  <c:v>0</c:v>
                </c:pt>
                <c:pt idx="139">
                  <c:v>0</c:v>
                </c:pt>
                <c:pt idx="140">
                  <c:v>0</c:v>
                </c:pt>
                <c:pt idx="141">
                  <c:v>12360</c:v>
                </c:pt>
                <c:pt idx="142">
                  <c:v>9410</c:v>
                </c:pt>
                <c:pt idx="143">
                  <c:v>0</c:v>
                </c:pt>
                <c:pt idx="144">
                  <c:v>0</c:v>
                </c:pt>
                <c:pt idx="145">
                  <c:v>25800</c:v>
                </c:pt>
                <c:pt idx="146">
                  <c:v>0</c:v>
                </c:pt>
                <c:pt idx="147">
                  <c:v>5841</c:v>
                </c:pt>
                <c:pt idx="148">
                  <c:v>2724</c:v>
                </c:pt>
                <c:pt idx="149">
                  <c:v>9790</c:v>
                </c:pt>
                <c:pt idx="150">
                  <c:v>5703</c:v>
                </c:pt>
                <c:pt idx="151">
                  <c:v>2720</c:v>
                </c:pt>
                <c:pt idx="152">
                  <c:v>0</c:v>
                </c:pt>
                <c:pt idx="153">
                  <c:v>0</c:v>
                </c:pt>
                <c:pt idx="154">
                  <c:v>0</c:v>
                </c:pt>
                <c:pt idx="155">
                  <c:v>0</c:v>
                </c:pt>
                <c:pt idx="156">
                  <c:v>0</c:v>
                </c:pt>
                <c:pt idx="157">
                  <c:v>5703</c:v>
                </c:pt>
                <c:pt idx="158">
                  <c:v>0</c:v>
                </c:pt>
                <c:pt idx="159">
                  <c:v>0</c:v>
                </c:pt>
                <c:pt idx="160">
                  <c:v>4108.5</c:v>
                </c:pt>
                <c:pt idx="161">
                  <c:v>0</c:v>
                </c:pt>
                <c:pt idx="162">
                  <c:v>19450</c:v>
                </c:pt>
                <c:pt idx="163">
                  <c:v>0</c:v>
                </c:pt>
                <c:pt idx="164">
                  <c:v>0</c:v>
                </c:pt>
                <c:pt idx="165">
                  <c:v>0</c:v>
                </c:pt>
                <c:pt idx="166">
                  <c:v>0</c:v>
                </c:pt>
                <c:pt idx="167">
                  <c:v>5748</c:v>
                </c:pt>
                <c:pt idx="168">
                  <c:v>0</c:v>
                </c:pt>
                <c:pt idx="169">
                  <c:v>0</c:v>
                </c:pt>
                <c:pt idx="170">
                  <c:v>0</c:v>
                </c:pt>
                <c:pt idx="171">
                  <c:v>19450</c:v>
                </c:pt>
                <c:pt idx="172">
                  <c:v>8310</c:v>
                </c:pt>
                <c:pt idx="173">
                  <c:v>8800</c:v>
                </c:pt>
                <c:pt idx="174">
                  <c:v>38505</c:v>
                </c:pt>
                <c:pt idx="175">
                  <c:v>7437</c:v>
                </c:pt>
                <c:pt idx="176">
                  <c:v>20310</c:v>
                </c:pt>
                <c:pt idx="177">
                  <c:v>20310</c:v>
                </c:pt>
                <c:pt idx="178">
                  <c:v>22610</c:v>
                </c:pt>
                <c:pt idx="179">
                  <c:v>7360</c:v>
                </c:pt>
                <c:pt idx="180">
                  <c:v>14255</c:v>
                </c:pt>
                <c:pt idx="181">
                  <c:v>0</c:v>
                </c:pt>
                <c:pt idx="182">
                  <c:v>71240</c:v>
                </c:pt>
                <c:pt idx="183">
                  <c:v>19670</c:v>
                </c:pt>
                <c:pt idx="184">
                  <c:v>0</c:v>
                </c:pt>
                <c:pt idx="185">
                  <c:v>14255</c:v>
                </c:pt>
                <c:pt idx="186">
                  <c:v>0</c:v>
                </c:pt>
                <c:pt idx="187">
                  <c:v>0</c:v>
                </c:pt>
                <c:pt idx="188">
                  <c:v>21255</c:v>
                </c:pt>
                <c:pt idx="189">
                  <c:v>95400</c:v>
                </c:pt>
                <c:pt idx="190">
                  <c:v>0</c:v>
                </c:pt>
                <c:pt idx="191">
                  <c:v>0</c:v>
                </c:pt>
                <c:pt idx="192">
                  <c:v>0</c:v>
                </c:pt>
                <c:pt idx="193">
                  <c:v>0</c:v>
                </c:pt>
                <c:pt idx="194">
                  <c:v>2180</c:v>
                </c:pt>
                <c:pt idx="195">
                  <c:v>20740</c:v>
                </c:pt>
                <c:pt idx="196">
                  <c:v>10560</c:v>
                </c:pt>
                <c:pt idx="197">
                  <c:v>6710</c:v>
                </c:pt>
                <c:pt idx="198">
                  <c:v>15140</c:v>
                </c:pt>
                <c:pt idx="199">
                  <c:v>71240</c:v>
                </c:pt>
                <c:pt idx="200">
                  <c:v>0</c:v>
                </c:pt>
                <c:pt idx="201">
                  <c:v>4395</c:v>
                </c:pt>
                <c:pt idx="202">
                  <c:v>26460</c:v>
                </c:pt>
                <c:pt idx="203">
                  <c:v>0</c:v>
                </c:pt>
                <c:pt idx="204">
                  <c:v>2598</c:v>
                </c:pt>
                <c:pt idx="205">
                  <c:v>90740</c:v>
                </c:pt>
                <c:pt idx="206">
                  <c:v>0</c:v>
                </c:pt>
                <c:pt idx="207">
                  <c:v>15140</c:v>
                </c:pt>
                <c:pt idx="208">
                  <c:v>0</c:v>
                </c:pt>
                <c:pt idx="209">
                  <c:v>0</c:v>
                </c:pt>
                <c:pt idx="210">
                  <c:v>0</c:v>
                </c:pt>
                <c:pt idx="211">
                  <c:v>6710</c:v>
                </c:pt>
                <c:pt idx="212">
                  <c:v>0</c:v>
                </c:pt>
                <c:pt idx="213">
                  <c:v>5795</c:v>
                </c:pt>
                <c:pt idx="214">
                  <c:v>6860</c:v>
                </c:pt>
                <c:pt idx="215">
                  <c:v>11745</c:v>
                </c:pt>
                <c:pt idx="216">
                  <c:v>13445</c:v>
                </c:pt>
                <c:pt idx="217">
                  <c:v>7293</c:v>
                </c:pt>
                <c:pt idx="218">
                  <c:v>7293</c:v>
                </c:pt>
                <c:pt idx="219">
                  <c:v>13445</c:v>
                </c:pt>
                <c:pt idx="220">
                  <c:v>8415</c:v>
                </c:pt>
                <c:pt idx="221">
                  <c:v>3369</c:v>
                </c:pt>
                <c:pt idx="222">
                  <c:v>5795</c:v>
                </c:pt>
                <c:pt idx="223">
                  <c:v>5595</c:v>
                </c:pt>
                <c:pt idx="224">
                  <c:v>3348</c:v>
                </c:pt>
                <c:pt idx="225">
                  <c:v>15630</c:v>
                </c:pt>
                <c:pt idx="226">
                  <c:v>0</c:v>
                </c:pt>
                <c:pt idx="227">
                  <c:v>5080</c:v>
                </c:pt>
                <c:pt idx="228">
                  <c:v>27910</c:v>
                </c:pt>
                <c:pt idx="229">
                  <c:v>2850</c:v>
                </c:pt>
                <c:pt idx="230">
                  <c:v>12435</c:v>
                </c:pt>
                <c:pt idx="231">
                  <c:v>0</c:v>
                </c:pt>
                <c:pt idx="232">
                  <c:v>0</c:v>
                </c:pt>
                <c:pt idx="233">
                  <c:v>0</c:v>
                </c:pt>
                <c:pt idx="234">
                  <c:v>7026</c:v>
                </c:pt>
                <c:pt idx="235">
                  <c:v>0</c:v>
                </c:pt>
                <c:pt idx="236">
                  <c:v>13030</c:v>
                </c:pt>
                <c:pt idx="237">
                  <c:v>0</c:v>
                </c:pt>
                <c:pt idx="238">
                  <c:v>0</c:v>
                </c:pt>
                <c:pt idx="239">
                  <c:v>0</c:v>
                </c:pt>
                <c:pt idx="240">
                  <c:v>11635</c:v>
                </c:pt>
                <c:pt idx="241">
                  <c:v>0</c:v>
                </c:pt>
                <c:pt idx="242">
                  <c:v>0</c:v>
                </c:pt>
                <c:pt idx="243">
                  <c:v>26200</c:v>
                </c:pt>
                <c:pt idx="244">
                  <c:v>0</c:v>
                </c:pt>
                <c:pt idx="245">
                  <c:v>13890</c:v>
                </c:pt>
                <c:pt idx="246">
                  <c:v>0</c:v>
                </c:pt>
                <c:pt idx="247">
                  <c:v>84480</c:v>
                </c:pt>
                <c:pt idx="248">
                  <c:v>18020</c:v>
                </c:pt>
                <c:pt idx="249">
                  <c:v>26630</c:v>
                </c:pt>
                <c:pt idx="250">
                  <c:v>10680</c:v>
                </c:pt>
                <c:pt idx="251">
                  <c:v>21160</c:v>
                </c:pt>
                <c:pt idx="252">
                  <c:v>5550</c:v>
                </c:pt>
                <c:pt idx="253">
                  <c:v>28610</c:v>
                </c:pt>
                <c:pt idx="254">
                  <c:v>96840</c:v>
                </c:pt>
                <c:pt idx="255">
                  <c:v>0</c:v>
                </c:pt>
                <c:pt idx="256">
                  <c:v>28320</c:v>
                </c:pt>
                <c:pt idx="257">
                  <c:v>15790</c:v>
                </c:pt>
                <c:pt idx="258">
                  <c:v>0</c:v>
                </c:pt>
                <c:pt idx="259">
                  <c:v>84480</c:v>
                </c:pt>
                <c:pt idx="260">
                  <c:v>10330</c:v>
                </c:pt>
                <c:pt idx="261">
                  <c:v>0</c:v>
                </c:pt>
                <c:pt idx="262">
                  <c:v>13890</c:v>
                </c:pt>
                <c:pt idx="263">
                  <c:v>12650</c:v>
                </c:pt>
                <c:pt idx="264">
                  <c:v>22970</c:v>
                </c:pt>
                <c:pt idx="265">
                  <c:v>26630</c:v>
                </c:pt>
                <c:pt idx="266">
                  <c:v>2850</c:v>
                </c:pt>
                <c:pt idx="267">
                  <c:v>12435</c:v>
                </c:pt>
                <c:pt idx="268">
                  <c:v>0</c:v>
                </c:pt>
                <c:pt idx="269">
                  <c:v>0</c:v>
                </c:pt>
                <c:pt idx="270">
                  <c:v>0</c:v>
                </c:pt>
                <c:pt idx="271">
                  <c:v>0</c:v>
                </c:pt>
                <c:pt idx="272">
                  <c:v>38010</c:v>
                </c:pt>
                <c:pt idx="273">
                  <c:v>11175</c:v>
                </c:pt>
                <c:pt idx="274">
                  <c:v>28440</c:v>
                </c:pt>
                <c:pt idx="275">
                  <c:v>1686</c:v>
                </c:pt>
                <c:pt idx="276">
                  <c:v>6897</c:v>
                </c:pt>
                <c:pt idx="277">
                  <c:v>20300</c:v>
                </c:pt>
                <c:pt idx="278">
                  <c:v>1315</c:v>
                </c:pt>
                <c:pt idx="279">
                  <c:v>0</c:v>
                </c:pt>
                <c:pt idx="280">
                  <c:v>0</c:v>
                </c:pt>
                <c:pt idx="281">
                  <c:v>0</c:v>
                </c:pt>
                <c:pt idx="282">
                  <c:v>7015</c:v>
                </c:pt>
                <c:pt idx="283">
                  <c:v>8169</c:v>
                </c:pt>
                <c:pt idx="284">
                  <c:v>0</c:v>
                </c:pt>
                <c:pt idx="285">
                  <c:v>6897</c:v>
                </c:pt>
                <c:pt idx="286">
                  <c:v>0</c:v>
                </c:pt>
                <c:pt idx="287">
                  <c:v>0</c:v>
                </c:pt>
                <c:pt idx="288">
                  <c:v>0</c:v>
                </c:pt>
                <c:pt idx="289">
                  <c:v>15300</c:v>
                </c:pt>
                <c:pt idx="290">
                  <c:v>0</c:v>
                </c:pt>
                <c:pt idx="291">
                  <c:v>7490</c:v>
                </c:pt>
                <c:pt idx="292">
                  <c:v>0</c:v>
                </c:pt>
                <c:pt idx="293">
                  <c:v>0</c:v>
                </c:pt>
                <c:pt idx="294">
                  <c:v>28440</c:v>
                </c:pt>
                <c:pt idx="295">
                  <c:v>7490</c:v>
                </c:pt>
                <c:pt idx="296">
                  <c:v>0</c:v>
                </c:pt>
                <c:pt idx="297">
                  <c:v>11230</c:v>
                </c:pt>
                <c:pt idx="298">
                  <c:v>0</c:v>
                </c:pt>
                <c:pt idx="299">
                  <c:v>0</c:v>
                </c:pt>
                <c:pt idx="300">
                  <c:v>0</c:v>
                </c:pt>
                <c:pt idx="301">
                  <c:v>0</c:v>
                </c:pt>
                <c:pt idx="302">
                  <c:v>7015</c:v>
                </c:pt>
                <c:pt idx="303">
                  <c:v>0</c:v>
                </c:pt>
                <c:pt idx="304">
                  <c:v>17570</c:v>
                </c:pt>
                <c:pt idx="305">
                  <c:v>21980</c:v>
                </c:pt>
                <c:pt idx="306">
                  <c:v>17430</c:v>
                </c:pt>
                <c:pt idx="307">
                  <c:v>11530</c:v>
                </c:pt>
                <c:pt idx="308">
                  <c:v>17570</c:v>
                </c:pt>
                <c:pt idx="309">
                  <c:v>10010</c:v>
                </c:pt>
                <c:pt idx="310">
                  <c:v>6665</c:v>
                </c:pt>
                <c:pt idx="311">
                  <c:v>11530</c:v>
                </c:pt>
                <c:pt idx="312">
                  <c:v>2181</c:v>
                </c:pt>
                <c:pt idx="313">
                  <c:v>5652</c:v>
                </c:pt>
                <c:pt idx="314">
                  <c:v>18340</c:v>
                </c:pt>
                <c:pt idx="315">
                  <c:v>7020</c:v>
                </c:pt>
                <c:pt idx="316">
                  <c:v>7026</c:v>
                </c:pt>
                <c:pt idx="317">
                  <c:v>5155</c:v>
                </c:pt>
                <c:pt idx="318">
                  <c:v>12620</c:v>
                </c:pt>
                <c:pt idx="319">
                  <c:v>5675</c:v>
                </c:pt>
                <c:pt idx="320">
                  <c:v>2735</c:v>
                </c:pt>
                <c:pt idx="321">
                  <c:v>7910</c:v>
                </c:pt>
                <c:pt idx="322">
                  <c:v>5215.5</c:v>
                </c:pt>
                <c:pt idx="323">
                  <c:v>6645</c:v>
                </c:pt>
                <c:pt idx="324">
                  <c:v>7910</c:v>
                </c:pt>
                <c:pt idx="325">
                  <c:v>5675</c:v>
                </c:pt>
                <c:pt idx="326">
                  <c:v>0</c:v>
                </c:pt>
                <c:pt idx="327">
                  <c:v>0</c:v>
                </c:pt>
                <c:pt idx="328">
                  <c:v>0</c:v>
                </c:pt>
                <c:pt idx="329">
                  <c:v>19760</c:v>
                </c:pt>
                <c:pt idx="330">
                  <c:v>0</c:v>
                </c:pt>
                <c:pt idx="331">
                  <c:v>0</c:v>
                </c:pt>
                <c:pt idx="332">
                  <c:v>0</c:v>
                </c:pt>
                <c:pt idx="333">
                  <c:v>0</c:v>
                </c:pt>
                <c:pt idx="334">
                  <c:v>0</c:v>
                </c:pt>
                <c:pt idx="335">
                  <c:v>21010</c:v>
                </c:pt>
                <c:pt idx="336">
                  <c:v>29310</c:v>
                </c:pt>
                <c:pt idx="337">
                  <c:v>15350</c:v>
                </c:pt>
                <c:pt idx="338">
                  <c:v>0</c:v>
                </c:pt>
                <c:pt idx="339">
                  <c:v>0</c:v>
                </c:pt>
                <c:pt idx="340">
                  <c:v>8289</c:v>
                </c:pt>
                <c:pt idx="341">
                  <c:v>10625</c:v>
                </c:pt>
                <c:pt idx="342">
                  <c:v>0</c:v>
                </c:pt>
                <c:pt idx="343">
                  <c:v>6090</c:v>
                </c:pt>
                <c:pt idx="344">
                  <c:v>0</c:v>
                </c:pt>
                <c:pt idx="345">
                  <c:v>19760</c:v>
                </c:pt>
                <c:pt idx="346">
                  <c:v>14210</c:v>
                </c:pt>
                <c:pt idx="347">
                  <c:v>0</c:v>
                </c:pt>
                <c:pt idx="348">
                  <c:v>5880</c:v>
                </c:pt>
                <c:pt idx="349">
                  <c:v>9733.5</c:v>
                </c:pt>
                <c:pt idx="350">
                  <c:v>0</c:v>
                </c:pt>
                <c:pt idx="351">
                  <c:v>0</c:v>
                </c:pt>
                <c:pt idx="352">
                  <c:v>0</c:v>
                </c:pt>
                <c:pt idx="353">
                  <c:v>0</c:v>
                </c:pt>
                <c:pt idx="354">
                  <c:v>0</c:v>
                </c:pt>
                <c:pt idx="355">
                  <c:v>11180</c:v>
                </c:pt>
                <c:pt idx="356">
                  <c:v>0</c:v>
                </c:pt>
                <c:pt idx="357">
                  <c:v>2440</c:v>
                </c:pt>
                <c:pt idx="358">
                  <c:v>12820</c:v>
                </c:pt>
                <c:pt idx="359">
                  <c:v>1285</c:v>
                </c:pt>
                <c:pt idx="360">
                  <c:v>12820</c:v>
                </c:pt>
                <c:pt idx="361">
                  <c:v>0</c:v>
                </c:pt>
                <c:pt idx="362">
                  <c:v>4900</c:v>
                </c:pt>
                <c:pt idx="363">
                  <c:v>0</c:v>
                </c:pt>
                <c:pt idx="364">
                  <c:v>25010</c:v>
                </c:pt>
                <c:pt idx="365">
                  <c:v>7080</c:v>
                </c:pt>
                <c:pt idx="366">
                  <c:v>6450</c:v>
                </c:pt>
                <c:pt idx="367">
                  <c:v>0</c:v>
                </c:pt>
                <c:pt idx="368">
                  <c:v>0</c:v>
                </c:pt>
                <c:pt idx="369">
                  <c:v>7110</c:v>
                </c:pt>
                <c:pt idx="370">
                  <c:v>0</c:v>
                </c:pt>
                <c:pt idx="371">
                  <c:v>6295</c:v>
                </c:pt>
                <c:pt idx="372">
                  <c:v>5475</c:v>
                </c:pt>
                <c:pt idx="373">
                  <c:v>13660</c:v>
                </c:pt>
                <c:pt idx="374">
                  <c:v>0</c:v>
                </c:pt>
                <c:pt idx="375">
                  <c:v>3390</c:v>
                </c:pt>
                <c:pt idx="376">
                  <c:v>7990</c:v>
                </c:pt>
                <c:pt idx="377">
                  <c:v>12045</c:v>
                </c:pt>
                <c:pt idx="378">
                  <c:v>19340</c:v>
                </c:pt>
                <c:pt idx="379">
                  <c:v>29930</c:v>
                </c:pt>
                <c:pt idx="380">
                  <c:v>0</c:v>
                </c:pt>
                <c:pt idx="381">
                  <c:v>9730</c:v>
                </c:pt>
                <c:pt idx="382">
                  <c:v>0</c:v>
                </c:pt>
                <c:pt idx="383">
                  <c:v>1794</c:v>
                </c:pt>
                <c:pt idx="384">
                  <c:v>14535</c:v>
                </c:pt>
                <c:pt idx="385">
                  <c:v>11690</c:v>
                </c:pt>
                <c:pt idx="386">
                  <c:v>96500</c:v>
                </c:pt>
                <c:pt idx="387">
                  <c:v>0</c:v>
                </c:pt>
                <c:pt idx="388">
                  <c:v>0</c:v>
                </c:pt>
                <c:pt idx="389">
                  <c:v>11690</c:v>
                </c:pt>
                <c:pt idx="390">
                  <c:v>99060</c:v>
                </c:pt>
                <c:pt idx="391">
                  <c:v>0</c:v>
                </c:pt>
                <c:pt idx="392">
                  <c:v>0</c:v>
                </c:pt>
                <c:pt idx="393">
                  <c:v>0</c:v>
                </c:pt>
                <c:pt idx="394">
                  <c:v>7080</c:v>
                </c:pt>
                <c:pt idx="395">
                  <c:v>14535</c:v>
                </c:pt>
                <c:pt idx="396">
                  <c:v>13660</c:v>
                </c:pt>
                <c:pt idx="397">
                  <c:v>0</c:v>
                </c:pt>
                <c:pt idx="398">
                  <c:v>15200</c:v>
                </c:pt>
                <c:pt idx="399">
                  <c:v>7110</c:v>
                </c:pt>
                <c:pt idx="400">
                  <c:v>4125</c:v>
                </c:pt>
                <c:pt idx="401">
                  <c:v>0</c:v>
                </c:pt>
                <c:pt idx="402">
                  <c:v>4365</c:v>
                </c:pt>
                <c:pt idx="403">
                  <c:v>0</c:v>
                </c:pt>
                <c:pt idx="404">
                  <c:v>1101</c:v>
                </c:pt>
                <c:pt idx="405">
                  <c:v>0</c:v>
                </c:pt>
                <c:pt idx="406">
                  <c:v>0</c:v>
                </c:pt>
                <c:pt idx="407">
                  <c:v>80500</c:v>
                </c:pt>
                <c:pt idx="408">
                  <c:v>6963</c:v>
                </c:pt>
                <c:pt idx="409">
                  <c:v>0</c:v>
                </c:pt>
                <c:pt idx="410">
                  <c:v>8055</c:v>
                </c:pt>
                <c:pt idx="411">
                  <c:v>0</c:v>
                </c:pt>
                <c:pt idx="412">
                  <c:v>83500</c:v>
                </c:pt>
                <c:pt idx="413">
                  <c:v>0</c:v>
                </c:pt>
                <c:pt idx="414">
                  <c:v>0</c:v>
                </c:pt>
                <c:pt idx="415">
                  <c:v>36750</c:v>
                </c:pt>
                <c:pt idx="416">
                  <c:v>0</c:v>
                </c:pt>
                <c:pt idx="417">
                  <c:v>12270</c:v>
                </c:pt>
                <c:pt idx="418">
                  <c:v>1101</c:v>
                </c:pt>
                <c:pt idx="419">
                  <c:v>0</c:v>
                </c:pt>
                <c:pt idx="420">
                  <c:v>5325</c:v>
                </c:pt>
                <c:pt idx="421">
                  <c:v>0</c:v>
                </c:pt>
                <c:pt idx="422">
                  <c:v>2450</c:v>
                </c:pt>
                <c:pt idx="423">
                  <c:v>0</c:v>
                </c:pt>
                <c:pt idx="424">
                  <c:v>0</c:v>
                </c:pt>
                <c:pt idx="425">
                  <c:v>68040</c:v>
                </c:pt>
                <c:pt idx="426">
                  <c:v>0</c:v>
                </c:pt>
                <c:pt idx="427">
                  <c:v>0</c:v>
                </c:pt>
                <c:pt idx="428">
                  <c:v>5868</c:v>
                </c:pt>
                <c:pt idx="429">
                  <c:v>0</c:v>
                </c:pt>
                <c:pt idx="430">
                  <c:v>0</c:v>
                </c:pt>
                <c:pt idx="431">
                  <c:v>2640</c:v>
                </c:pt>
                <c:pt idx="432">
                  <c:v>0</c:v>
                </c:pt>
                <c:pt idx="433">
                  <c:v>6702</c:v>
                </c:pt>
                <c:pt idx="434">
                  <c:v>12270</c:v>
                </c:pt>
                <c:pt idx="435">
                  <c:v>0</c:v>
                </c:pt>
                <c:pt idx="436">
                  <c:v>0</c:v>
                </c:pt>
                <c:pt idx="437">
                  <c:v>0</c:v>
                </c:pt>
                <c:pt idx="438">
                  <c:v>9700</c:v>
                </c:pt>
                <c:pt idx="439">
                  <c:v>16940</c:v>
                </c:pt>
                <c:pt idx="440">
                  <c:v>6630</c:v>
                </c:pt>
                <c:pt idx="441">
                  <c:v>4095</c:v>
                </c:pt>
                <c:pt idx="442">
                  <c:v>4740</c:v>
                </c:pt>
                <c:pt idx="443">
                  <c:v>2605</c:v>
                </c:pt>
                <c:pt idx="444">
                  <c:v>9730</c:v>
                </c:pt>
                <c:pt idx="445">
                  <c:v>10380</c:v>
                </c:pt>
                <c:pt idx="446">
                  <c:v>1800</c:v>
                </c:pt>
                <c:pt idx="447">
                  <c:v>5901</c:v>
                </c:pt>
                <c:pt idx="448">
                  <c:v>26280</c:v>
                </c:pt>
                <c:pt idx="449">
                  <c:v>1800</c:v>
                </c:pt>
                <c:pt idx="450">
                  <c:v>26820</c:v>
                </c:pt>
                <c:pt idx="451">
                  <c:v>2605</c:v>
                </c:pt>
                <c:pt idx="452">
                  <c:v>10380</c:v>
                </c:pt>
                <c:pt idx="453">
                  <c:v>16305</c:v>
                </c:pt>
                <c:pt idx="454">
                  <c:v>918</c:v>
                </c:pt>
                <c:pt idx="455">
                  <c:v>1158</c:v>
                </c:pt>
                <c:pt idx="456">
                  <c:v>11640</c:v>
                </c:pt>
                <c:pt idx="457">
                  <c:v>1158</c:v>
                </c:pt>
                <c:pt idx="458">
                  <c:v>0</c:v>
                </c:pt>
                <c:pt idx="459">
                  <c:v>0</c:v>
                </c:pt>
                <c:pt idx="460">
                  <c:v>0</c:v>
                </c:pt>
                <c:pt idx="461">
                  <c:v>0</c:v>
                </c:pt>
                <c:pt idx="462">
                  <c:v>20720</c:v>
                </c:pt>
                <c:pt idx="463">
                  <c:v>19540</c:v>
                </c:pt>
                <c:pt idx="464">
                  <c:v>0</c:v>
                </c:pt>
                <c:pt idx="465">
                  <c:v>21670</c:v>
                </c:pt>
                <c:pt idx="466">
                  <c:v>2410</c:v>
                </c:pt>
                <c:pt idx="467">
                  <c:v>6810</c:v>
                </c:pt>
                <c:pt idx="468">
                  <c:v>5100</c:v>
                </c:pt>
                <c:pt idx="469">
                  <c:v>7900</c:v>
                </c:pt>
                <c:pt idx="470">
                  <c:v>0</c:v>
                </c:pt>
                <c:pt idx="471">
                  <c:v>0</c:v>
                </c:pt>
                <c:pt idx="472">
                  <c:v>0</c:v>
                </c:pt>
                <c:pt idx="473">
                  <c:v>2410</c:v>
                </c:pt>
                <c:pt idx="474">
                  <c:v>13325</c:v>
                </c:pt>
                <c:pt idx="475">
                  <c:v>0</c:v>
                </c:pt>
                <c:pt idx="476">
                  <c:v>0</c:v>
                </c:pt>
                <c:pt idx="477">
                  <c:v>40920</c:v>
                </c:pt>
                <c:pt idx="478">
                  <c:v>6410</c:v>
                </c:pt>
                <c:pt idx="479">
                  <c:v>0</c:v>
                </c:pt>
                <c:pt idx="480">
                  <c:v>0</c:v>
                </c:pt>
                <c:pt idx="481">
                  <c:v>0</c:v>
                </c:pt>
                <c:pt idx="482">
                  <c:v>21670</c:v>
                </c:pt>
                <c:pt idx="483">
                  <c:v>0</c:v>
                </c:pt>
                <c:pt idx="484">
                  <c:v>0</c:v>
                </c:pt>
                <c:pt idx="485">
                  <c:v>69480</c:v>
                </c:pt>
                <c:pt idx="486">
                  <c:v>0</c:v>
                </c:pt>
                <c:pt idx="487">
                  <c:v>0</c:v>
                </c:pt>
                <c:pt idx="488">
                  <c:v>10561.5</c:v>
                </c:pt>
                <c:pt idx="489">
                  <c:v>20390</c:v>
                </c:pt>
                <c:pt idx="490">
                  <c:v>7722</c:v>
                </c:pt>
                <c:pt idx="491">
                  <c:v>0</c:v>
                </c:pt>
                <c:pt idx="492">
                  <c:v>20720</c:v>
                </c:pt>
                <c:pt idx="493">
                  <c:v>0</c:v>
                </c:pt>
                <c:pt idx="494">
                  <c:v>3594</c:v>
                </c:pt>
                <c:pt idx="495">
                  <c:v>12660</c:v>
                </c:pt>
                <c:pt idx="496">
                  <c:v>3594</c:v>
                </c:pt>
                <c:pt idx="497">
                  <c:v>3840</c:v>
                </c:pt>
                <c:pt idx="498">
                  <c:v>1416</c:v>
                </c:pt>
                <c:pt idx="499">
                  <c:v>7895</c:v>
                </c:pt>
                <c:pt idx="500">
                  <c:v>3015</c:v>
                </c:pt>
                <c:pt idx="501">
                  <c:v>31995</c:v>
                </c:pt>
                <c:pt idx="502">
                  <c:v>1416</c:v>
                </c:pt>
                <c:pt idx="503">
                  <c:v>5811</c:v>
                </c:pt>
                <c:pt idx="504">
                  <c:v>0</c:v>
                </c:pt>
                <c:pt idx="505">
                  <c:v>0</c:v>
                </c:pt>
                <c:pt idx="506">
                  <c:v>0</c:v>
                </c:pt>
                <c:pt idx="507">
                  <c:v>15600</c:v>
                </c:pt>
                <c:pt idx="508">
                  <c:v>13530</c:v>
                </c:pt>
                <c:pt idx="509">
                  <c:v>0</c:v>
                </c:pt>
                <c:pt idx="510">
                  <c:v>29920</c:v>
                </c:pt>
                <c:pt idx="511">
                  <c:v>21570</c:v>
                </c:pt>
                <c:pt idx="512">
                  <c:v>0</c:v>
                </c:pt>
                <c:pt idx="513">
                  <c:v>11220</c:v>
                </c:pt>
                <c:pt idx="514">
                  <c:v>0</c:v>
                </c:pt>
                <c:pt idx="515">
                  <c:v>12078</c:v>
                </c:pt>
                <c:pt idx="516">
                  <c:v>7276.5</c:v>
                </c:pt>
                <c:pt idx="517">
                  <c:v>23940</c:v>
                </c:pt>
                <c:pt idx="518">
                  <c:v>19840</c:v>
                </c:pt>
                <c:pt idx="519">
                  <c:v>0</c:v>
                </c:pt>
                <c:pt idx="520">
                  <c:v>29920</c:v>
                </c:pt>
                <c:pt idx="521">
                  <c:v>0</c:v>
                </c:pt>
                <c:pt idx="522">
                  <c:v>28050</c:v>
                </c:pt>
                <c:pt idx="523">
                  <c:v>6550</c:v>
                </c:pt>
                <c:pt idx="524">
                  <c:v>89440</c:v>
                </c:pt>
                <c:pt idx="525">
                  <c:v>9040</c:v>
                </c:pt>
                <c:pt idx="526">
                  <c:v>5202</c:v>
                </c:pt>
                <c:pt idx="527">
                  <c:v>66480</c:v>
                </c:pt>
                <c:pt idx="528">
                  <c:v>29350</c:v>
                </c:pt>
                <c:pt idx="529">
                  <c:v>0</c:v>
                </c:pt>
                <c:pt idx="530">
                  <c:v>26290</c:v>
                </c:pt>
                <c:pt idx="531">
                  <c:v>0</c:v>
                </c:pt>
                <c:pt idx="532">
                  <c:v>0</c:v>
                </c:pt>
                <c:pt idx="533">
                  <c:v>89440</c:v>
                </c:pt>
                <c:pt idx="534">
                  <c:v>21570</c:v>
                </c:pt>
                <c:pt idx="535">
                  <c:v>1900</c:v>
                </c:pt>
                <c:pt idx="536">
                  <c:v>0</c:v>
                </c:pt>
                <c:pt idx="537">
                  <c:v>0</c:v>
                </c:pt>
                <c:pt idx="538">
                  <c:v>0</c:v>
                </c:pt>
                <c:pt idx="539">
                  <c:v>26890</c:v>
                </c:pt>
                <c:pt idx="540">
                  <c:v>6770</c:v>
                </c:pt>
                <c:pt idx="541">
                  <c:v>0</c:v>
                </c:pt>
                <c:pt idx="542">
                  <c:v>12100</c:v>
                </c:pt>
                <c:pt idx="543">
                  <c:v>13670</c:v>
                </c:pt>
                <c:pt idx="544">
                  <c:v>17150</c:v>
                </c:pt>
                <c:pt idx="545">
                  <c:v>0</c:v>
                </c:pt>
                <c:pt idx="546">
                  <c:v>0</c:v>
                </c:pt>
                <c:pt idx="547">
                  <c:v>0</c:v>
                </c:pt>
                <c:pt idx="548">
                  <c:v>0</c:v>
                </c:pt>
                <c:pt idx="549">
                  <c:v>9050</c:v>
                </c:pt>
                <c:pt idx="550">
                  <c:v>17150</c:v>
                </c:pt>
                <c:pt idx="551">
                  <c:v>0</c:v>
                </c:pt>
                <c:pt idx="552">
                  <c:v>0</c:v>
                </c:pt>
                <c:pt idx="553">
                  <c:v>0</c:v>
                </c:pt>
                <c:pt idx="554">
                  <c:v>0</c:v>
                </c:pt>
                <c:pt idx="555">
                  <c:v>3800</c:v>
                </c:pt>
                <c:pt idx="556">
                  <c:v>12330</c:v>
                </c:pt>
                <c:pt idx="557">
                  <c:v>0</c:v>
                </c:pt>
                <c:pt idx="558">
                  <c:v>0</c:v>
                </c:pt>
                <c:pt idx="559">
                  <c:v>9050</c:v>
                </c:pt>
                <c:pt idx="560">
                  <c:v>6327</c:v>
                </c:pt>
                <c:pt idx="561">
                  <c:v>38745</c:v>
                </c:pt>
                <c:pt idx="562">
                  <c:v>0</c:v>
                </c:pt>
                <c:pt idx="563">
                  <c:v>0</c:v>
                </c:pt>
                <c:pt idx="564">
                  <c:v>0</c:v>
                </c:pt>
                <c:pt idx="565">
                  <c:v>12330</c:v>
                </c:pt>
                <c:pt idx="566">
                  <c:v>70200</c:v>
                </c:pt>
                <c:pt idx="567">
                  <c:v>17107.5</c:v>
                </c:pt>
                <c:pt idx="568">
                  <c:v>13670</c:v>
                </c:pt>
                <c:pt idx="569">
                  <c:v>25480</c:v>
                </c:pt>
                <c:pt idx="570">
                  <c:v>25215</c:v>
                </c:pt>
                <c:pt idx="571">
                  <c:v>7983</c:v>
                </c:pt>
                <c:pt idx="572">
                  <c:v>15310</c:v>
                </c:pt>
                <c:pt idx="573">
                  <c:v>7455</c:v>
                </c:pt>
                <c:pt idx="574">
                  <c:v>15310</c:v>
                </c:pt>
                <c:pt idx="575">
                  <c:v>8283</c:v>
                </c:pt>
                <c:pt idx="576">
                  <c:v>25670</c:v>
                </c:pt>
                <c:pt idx="577">
                  <c:v>25670</c:v>
                </c:pt>
                <c:pt idx="578">
                  <c:v>0</c:v>
                </c:pt>
                <c:pt idx="579">
                  <c:v>0</c:v>
                </c:pt>
                <c:pt idx="580">
                  <c:v>4420</c:v>
                </c:pt>
                <c:pt idx="581">
                  <c:v>0</c:v>
                </c:pt>
                <c:pt idx="582">
                  <c:v>6490</c:v>
                </c:pt>
                <c:pt idx="583">
                  <c:v>1812</c:v>
                </c:pt>
                <c:pt idx="584">
                  <c:v>22550</c:v>
                </c:pt>
                <c:pt idx="585">
                  <c:v>12490</c:v>
                </c:pt>
                <c:pt idx="586">
                  <c:v>7192.5</c:v>
                </c:pt>
                <c:pt idx="587">
                  <c:v>0</c:v>
                </c:pt>
                <c:pt idx="588">
                  <c:v>26410</c:v>
                </c:pt>
                <c:pt idx="589">
                  <c:v>27080</c:v>
                </c:pt>
                <c:pt idx="590">
                  <c:v>0</c:v>
                </c:pt>
                <c:pt idx="591">
                  <c:v>0</c:v>
                </c:pt>
                <c:pt idx="592">
                  <c:v>1713</c:v>
                </c:pt>
                <c:pt idx="593">
                  <c:v>13480</c:v>
                </c:pt>
                <c:pt idx="594">
                  <c:v>15650</c:v>
                </c:pt>
                <c:pt idx="595">
                  <c:v>12490</c:v>
                </c:pt>
                <c:pt idx="596">
                  <c:v>92820</c:v>
                </c:pt>
                <c:pt idx="597">
                  <c:v>3039</c:v>
                </c:pt>
                <c:pt idx="598">
                  <c:v>39975</c:v>
                </c:pt>
                <c:pt idx="599">
                  <c:v>0</c:v>
                </c:pt>
                <c:pt idx="600">
                  <c:v>5950</c:v>
                </c:pt>
                <c:pt idx="601">
                  <c:v>1812</c:v>
                </c:pt>
                <c:pt idx="602">
                  <c:v>6600</c:v>
                </c:pt>
                <c:pt idx="603">
                  <c:v>1230</c:v>
                </c:pt>
                <c:pt idx="604">
                  <c:v>0</c:v>
                </c:pt>
                <c:pt idx="605">
                  <c:v>3039</c:v>
                </c:pt>
                <c:pt idx="606">
                  <c:v>0</c:v>
                </c:pt>
                <c:pt idx="607">
                  <c:v>15650</c:v>
                </c:pt>
                <c:pt idx="608">
                  <c:v>0</c:v>
                </c:pt>
                <c:pt idx="609">
                  <c:v>5950</c:v>
                </c:pt>
                <c:pt idx="610">
                  <c:v>1230</c:v>
                </c:pt>
                <c:pt idx="611">
                  <c:v>5310</c:v>
                </c:pt>
                <c:pt idx="612">
                  <c:v>25790</c:v>
                </c:pt>
                <c:pt idx="613">
                  <c:v>17430</c:v>
                </c:pt>
                <c:pt idx="614">
                  <c:v>14980</c:v>
                </c:pt>
                <c:pt idx="615">
                  <c:v>1400</c:v>
                </c:pt>
                <c:pt idx="616">
                  <c:v>1465</c:v>
                </c:pt>
                <c:pt idx="617">
                  <c:v>14980</c:v>
                </c:pt>
                <c:pt idx="618">
                  <c:v>2780</c:v>
                </c:pt>
                <c:pt idx="619">
                  <c:v>24280</c:v>
                </c:pt>
                <c:pt idx="620">
                  <c:v>17670</c:v>
                </c:pt>
                <c:pt idx="621">
                  <c:v>4179</c:v>
                </c:pt>
                <c:pt idx="622">
                  <c:v>1400</c:v>
                </c:pt>
                <c:pt idx="623">
                  <c:v>4179</c:v>
                </c:pt>
                <c:pt idx="624">
                  <c:v>6045</c:v>
                </c:pt>
                <c:pt idx="625">
                  <c:v>0</c:v>
                </c:pt>
                <c:pt idx="626">
                  <c:v>0</c:v>
                </c:pt>
                <c:pt idx="627">
                  <c:v>0</c:v>
                </c:pt>
                <c:pt idx="628">
                  <c:v>0</c:v>
                </c:pt>
                <c:pt idx="629">
                  <c:v>15130</c:v>
                </c:pt>
                <c:pt idx="630">
                  <c:v>23000</c:v>
                </c:pt>
                <c:pt idx="631">
                  <c:v>0</c:v>
                </c:pt>
                <c:pt idx="632">
                  <c:v>0</c:v>
                </c:pt>
                <c:pt idx="633">
                  <c:v>0</c:v>
                </c:pt>
                <c:pt idx="634">
                  <c:v>52000</c:v>
                </c:pt>
                <c:pt idx="635">
                  <c:v>1940</c:v>
                </c:pt>
                <c:pt idx="636">
                  <c:v>8635</c:v>
                </c:pt>
                <c:pt idx="637">
                  <c:v>23000</c:v>
                </c:pt>
                <c:pt idx="638">
                  <c:v>2600</c:v>
                </c:pt>
                <c:pt idx="639">
                  <c:v>24700</c:v>
                </c:pt>
                <c:pt idx="640">
                  <c:v>17430</c:v>
                </c:pt>
                <c:pt idx="641">
                  <c:v>8742</c:v>
                </c:pt>
                <c:pt idx="642">
                  <c:v>8655</c:v>
                </c:pt>
                <c:pt idx="643">
                  <c:v>0</c:v>
                </c:pt>
                <c:pt idx="644">
                  <c:v>6666</c:v>
                </c:pt>
                <c:pt idx="645">
                  <c:v>0</c:v>
                </c:pt>
                <c:pt idx="646">
                  <c:v>0</c:v>
                </c:pt>
                <c:pt idx="647">
                  <c:v>0</c:v>
                </c:pt>
                <c:pt idx="648">
                  <c:v>6060</c:v>
                </c:pt>
                <c:pt idx="649">
                  <c:v>0</c:v>
                </c:pt>
                <c:pt idx="650">
                  <c:v>67250</c:v>
                </c:pt>
                <c:pt idx="651">
                  <c:v>0</c:v>
                </c:pt>
                <c:pt idx="652">
                  <c:v>14515</c:v>
                </c:pt>
                <c:pt idx="653">
                  <c:v>0</c:v>
                </c:pt>
                <c:pt idx="654">
                  <c:v>67250</c:v>
                </c:pt>
                <c:pt idx="655">
                  <c:v>0</c:v>
                </c:pt>
                <c:pt idx="656">
                  <c:v>0</c:v>
                </c:pt>
                <c:pt idx="657">
                  <c:v>0</c:v>
                </c:pt>
                <c:pt idx="658">
                  <c:v>0</c:v>
                </c:pt>
                <c:pt idx="659">
                  <c:v>0</c:v>
                </c:pt>
                <c:pt idx="660">
                  <c:v>7425</c:v>
                </c:pt>
                <c:pt idx="661">
                  <c:v>17430</c:v>
                </c:pt>
                <c:pt idx="662">
                  <c:v>8742</c:v>
                </c:pt>
                <c:pt idx="663">
                  <c:v>8655</c:v>
                </c:pt>
                <c:pt idx="664">
                  <c:v>8635</c:v>
                </c:pt>
                <c:pt idx="665">
                  <c:v>18700</c:v>
                </c:pt>
                <c:pt idx="666">
                  <c:v>0</c:v>
                </c:pt>
                <c:pt idx="667">
                  <c:v>0</c:v>
                </c:pt>
                <c:pt idx="668">
                  <c:v>0</c:v>
                </c:pt>
                <c:pt idx="669">
                  <c:v>0</c:v>
                </c:pt>
                <c:pt idx="670">
                  <c:v>11580</c:v>
                </c:pt>
                <c:pt idx="671">
                  <c:v>16140</c:v>
                </c:pt>
                <c:pt idx="672">
                  <c:v>12675</c:v>
                </c:pt>
                <c:pt idx="673">
                  <c:v>0</c:v>
                </c:pt>
                <c:pt idx="674">
                  <c:v>25590</c:v>
                </c:pt>
                <c:pt idx="675">
                  <c:v>2670</c:v>
                </c:pt>
                <c:pt idx="676">
                  <c:v>0</c:v>
                </c:pt>
                <c:pt idx="677">
                  <c:v>11750</c:v>
                </c:pt>
                <c:pt idx="678">
                  <c:v>0</c:v>
                </c:pt>
                <c:pt idx="679">
                  <c:v>0</c:v>
                </c:pt>
                <c:pt idx="680">
                  <c:v>2742</c:v>
                </c:pt>
                <c:pt idx="681">
                  <c:v>2930</c:v>
                </c:pt>
                <c:pt idx="682">
                  <c:v>1500</c:v>
                </c:pt>
                <c:pt idx="683">
                  <c:v>28260</c:v>
                </c:pt>
                <c:pt idx="684">
                  <c:v>79560</c:v>
                </c:pt>
                <c:pt idx="685">
                  <c:v>0</c:v>
                </c:pt>
                <c:pt idx="686">
                  <c:v>0</c:v>
                </c:pt>
                <c:pt idx="687">
                  <c:v>2742</c:v>
                </c:pt>
                <c:pt idx="688">
                  <c:v>8655</c:v>
                </c:pt>
                <c:pt idx="689">
                  <c:v>4920</c:v>
                </c:pt>
                <c:pt idx="690">
                  <c:v>2670</c:v>
                </c:pt>
                <c:pt idx="691">
                  <c:v>11750</c:v>
                </c:pt>
                <c:pt idx="692">
                  <c:v>0</c:v>
                </c:pt>
                <c:pt idx="693">
                  <c:v>66240</c:v>
                </c:pt>
                <c:pt idx="694">
                  <c:v>2930</c:v>
                </c:pt>
                <c:pt idx="695">
                  <c:v>0</c:v>
                </c:pt>
                <c:pt idx="696">
                  <c:v>0</c:v>
                </c:pt>
                <c:pt idx="697">
                  <c:v>6840</c:v>
                </c:pt>
                <c:pt idx="698">
                  <c:v>3615</c:v>
                </c:pt>
                <c:pt idx="699">
                  <c:v>5418</c:v>
                </c:pt>
              </c:numCache>
            </c:numRef>
          </c:bubbleSize>
          <c:bubble3D val="0"/>
          <c:extLst>
            <c:ext xmlns:c16="http://schemas.microsoft.com/office/drawing/2014/chart" uri="{C3380CC4-5D6E-409C-BE32-E72D297353CC}">
              <c16:uniqueId val="{00000003-190B-4CCD-A5AC-D8A18D1CEC3F}"/>
            </c:ext>
          </c:extLst>
        </c:ser>
        <c:ser>
          <c:idx val="4"/>
          <c:order val="4"/>
          <c:spPr>
            <a:solidFill>
              <a:schemeClr val="accent5">
                <a:alpha val="75000"/>
              </a:schemeClr>
            </a:solidFill>
            <a:ln w="25400">
              <a:noFill/>
            </a:ln>
            <a:effectLst/>
          </c:spPr>
          <c:invertIfNegative val="0"/>
          <c:xVal>
            <c:strRef>
              <c:f>Sheet1!$A$4:$A$703</c:f>
              <c:strCache>
                <c:ptCount val="700"/>
                <c:pt idx="0">
                  <c:v>Government-Canada-Carretera</c:v>
                </c:pt>
                <c:pt idx="1">
                  <c:v>Government-Germany-Carretera</c:v>
                </c:pt>
                <c:pt idx="2">
                  <c:v>Midmarket-France-Carretera</c:v>
                </c:pt>
                <c:pt idx="3">
                  <c:v>Midmarket-Germany-Carretera</c:v>
                </c:pt>
                <c:pt idx="4">
                  <c:v>Midmarket-Mexico-Carretera</c:v>
                </c:pt>
                <c:pt idx="5">
                  <c:v>Government-Germany-Carretera</c:v>
                </c:pt>
                <c:pt idx="6">
                  <c:v>Midmarket-Germany-Montana</c:v>
                </c:pt>
                <c:pt idx="7">
                  <c:v>Channel Partners-Canada-Montana</c:v>
                </c:pt>
                <c:pt idx="8">
                  <c:v>Government-France-Montana</c:v>
                </c:pt>
                <c:pt idx="9">
                  <c:v>Channel Partners-Germany-Montana</c:v>
                </c:pt>
                <c:pt idx="10">
                  <c:v>Midmarket-Mexico-Montana</c:v>
                </c:pt>
                <c:pt idx="11">
                  <c:v>Enterprise-Canada-Montana</c:v>
                </c:pt>
                <c:pt idx="12">
                  <c:v>Small Business-Mexico-Montana</c:v>
                </c:pt>
                <c:pt idx="13">
                  <c:v>Government-Germany-Montana</c:v>
                </c:pt>
                <c:pt idx="14">
                  <c:v>Enterprise-Canada-Montana</c:v>
                </c:pt>
                <c:pt idx="15">
                  <c:v>Midmarket-United States of America-Montana</c:v>
                </c:pt>
                <c:pt idx="16">
                  <c:v>Government-Canada-Paseo</c:v>
                </c:pt>
                <c:pt idx="17">
                  <c:v>Midmarket-Mexico-Paseo</c:v>
                </c:pt>
                <c:pt idx="18">
                  <c:v>Channel Partners-Canada-Paseo</c:v>
                </c:pt>
                <c:pt idx="19">
                  <c:v>Government-Germany-Paseo</c:v>
                </c:pt>
                <c:pt idx="20">
                  <c:v>Channel Partners-Germany-Paseo</c:v>
                </c:pt>
                <c:pt idx="21">
                  <c:v>Government-Mexico-Paseo</c:v>
                </c:pt>
                <c:pt idx="22">
                  <c:v>Midmarket-France-Paseo</c:v>
                </c:pt>
                <c:pt idx="23">
                  <c:v>Small Business-Mexico-Paseo</c:v>
                </c:pt>
                <c:pt idx="24">
                  <c:v>Midmarket-Mexico-Paseo</c:v>
                </c:pt>
                <c:pt idx="25">
                  <c:v>Government-United States of America-Paseo</c:v>
                </c:pt>
                <c:pt idx="26">
                  <c:v>Government-Canada-Paseo</c:v>
                </c:pt>
                <c:pt idx="27">
                  <c:v>Channel Partners-United States of America-Paseo</c:v>
                </c:pt>
                <c:pt idx="28">
                  <c:v>Midmarket-Canada-Paseo</c:v>
                </c:pt>
                <c:pt idx="29">
                  <c:v>Government-Canada-Paseo</c:v>
                </c:pt>
                <c:pt idx="30">
                  <c:v>Government-Germany-Paseo</c:v>
                </c:pt>
                <c:pt idx="31">
                  <c:v>Government-Mexico-Velo</c:v>
                </c:pt>
                <c:pt idx="32">
                  <c:v>Enterprise-France-Velo</c:v>
                </c:pt>
                <c:pt idx="33">
                  <c:v>Channel Partners-Germany-Velo</c:v>
                </c:pt>
                <c:pt idx="34">
                  <c:v>Government-Germany-Velo</c:v>
                </c:pt>
                <c:pt idx="35">
                  <c:v>Channel Partners-Germany-Velo</c:v>
                </c:pt>
                <c:pt idx="36">
                  <c:v>Enterprise-United States of America-Velo</c:v>
                </c:pt>
                <c:pt idx="37">
                  <c:v>Enterprise-Canada-Velo</c:v>
                </c:pt>
                <c:pt idx="38">
                  <c:v>Small Business-Canada-VTT</c:v>
                </c:pt>
                <c:pt idx="39">
                  <c:v>Channel Partners-Germany-VTT</c:v>
                </c:pt>
                <c:pt idx="40">
                  <c:v>Midmarket-France-VTT</c:v>
                </c:pt>
                <c:pt idx="41">
                  <c:v>Midmarket-Germany-VTT</c:v>
                </c:pt>
                <c:pt idx="42">
                  <c:v>Government-France-VTT</c:v>
                </c:pt>
                <c:pt idx="43">
                  <c:v>Small Business-France-VTT</c:v>
                </c:pt>
                <c:pt idx="44">
                  <c:v>Government-Canada-VTT</c:v>
                </c:pt>
                <c:pt idx="45">
                  <c:v>Government-France-Amarilla</c:v>
                </c:pt>
                <c:pt idx="46">
                  <c:v>Channel Partners-United States of America-Amarilla</c:v>
                </c:pt>
                <c:pt idx="47">
                  <c:v>Enterprise-Germany-Amarilla</c:v>
                </c:pt>
                <c:pt idx="48">
                  <c:v>Government-France-Amarilla</c:v>
                </c:pt>
                <c:pt idx="49">
                  <c:v>Government-Germany-Amarilla</c:v>
                </c:pt>
                <c:pt idx="50">
                  <c:v>Channel Partners-United States of America-Amarilla</c:v>
                </c:pt>
                <c:pt idx="51">
                  <c:v>Government-United States of America-Amarilla</c:v>
                </c:pt>
                <c:pt idx="52">
                  <c:v>Midmarket-United States of America-Amarilla</c:v>
                </c:pt>
                <c:pt idx="53">
                  <c:v>Government-France-Paseo</c:v>
                </c:pt>
                <c:pt idx="54">
                  <c:v>Midmarket-France-Paseo</c:v>
                </c:pt>
                <c:pt idx="55">
                  <c:v>Government-France-Paseo</c:v>
                </c:pt>
                <c:pt idx="56">
                  <c:v>Government-France-Velo</c:v>
                </c:pt>
                <c:pt idx="57">
                  <c:v>Government-Canada-VTT</c:v>
                </c:pt>
                <c:pt idx="58">
                  <c:v>Channel Partners-United States of America-Carretera</c:v>
                </c:pt>
                <c:pt idx="59">
                  <c:v>Government-Mexico-Carretera</c:v>
                </c:pt>
                <c:pt idx="60">
                  <c:v>Government-United States of America-Carretera</c:v>
                </c:pt>
                <c:pt idx="61">
                  <c:v>Channel Partners-Canada-Carretera</c:v>
                </c:pt>
                <c:pt idx="62">
                  <c:v>Enterprise-United States of America-Carretera</c:v>
                </c:pt>
                <c:pt idx="63">
                  <c:v>Channel Partners-France-Carretera</c:v>
                </c:pt>
                <c:pt idx="64">
                  <c:v>Channel Partners-Germany-Carretera</c:v>
                </c:pt>
                <c:pt idx="65">
                  <c:v>Small Business-Mexico-Carretera</c:v>
                </c:pt>
                <c:pt idx="66">
                  <c:v>Government-Mexico-Carretera</c:v>
                </c:pt>
                <c:pt idx="67">
                  <c:v>Government-France-Carretera</c:v>
                </c:pt>
                <c:pt idx="68">
                  <c:v>Midmarket-Mexico-Montana</c:v>
                </c:pt>
                <c:pt idx="69">
                  <c:v>Small Business-United States of America-Montana</c:v>
                </c:pt>
                <c:pt idx="70">
                  <c:v>Government-France-Montana</c:v>
                </c:pt>
                <c:pt idx="71">
                  <c:v>Government-Canada-Montana</c:v>
                </c:pt>
                <c:pt idx="72">
                  <c:v>Small Business-United States of America-Montana</c:v>
                </c:pt>
                <c:pt idx="73">
                  <c:v>Enterprise-United States of America-Montana</c:v>
                </c:pt>
                <c:pt idx="74">
                  <c:v>Midmarket-United States of America-Paseo</c:v>
                </c:pt>
                <c:pt idx="75">
                  <c:v>Government-United States of America-Paseo</c:v>
                </c:pt>
                <c:pt idx="76">
                  <c:v>Enterprise-United States of America-Paseo</c:v>
                </c:pt>
                <c:pt idx="77">
                  <c:v>Enterprise-France-Paseo</c:v>
                </c:pt>
                <c:pt idx="78">
                  <c:v>Enterprise-Mexico-Paseo</c:v>
                </c:pt>
                <c:pt idx="79">
                  <c:v>Midmarket-Germany-Paseo</c:v>
                </c:pt>
                <c:pt idx="80">
                  <c:v>Channel Partners-Germany-Paseo</c:v>
                </c:pt>
                <c:pt idx="81">
                  <c:v>Small Business-United States of America-Paseo</c:v>
                </c:pt>
                <c:pt idx="82">
                  <c:v>Government-France-Paseo</c:v>
                </c:pt>
                <c:pt idx="83">
                  <c:v>Government-France-Velo</c:v>
                </c:pt>
                <c:pt idx="84">
                  <c:v>Government-Mexico-Velo</c:v>
                </c:pt>
                <c:pt idx="85">
                  <c:v>Enterprise-Canada-Velo</c:v>
                </c:pt>
                <c:pt idx="86">
                  <c:v>Enterprise-United States of America-Velo</c:v>
                </c:pt>
                <c:pt idx="87">
                  <c:v>Government-Canada-Velo</c:v>
                </c:pt>
                <c:pt idx="88">
                  <c:v>Government-Germany-VTT</c:v>
                </c:pt>
                <c:pt idx="89">
                  <c:v>Government-Canada-VTT</c:v>
                </c:pt>
                <c:pt idx="90">
                  <c:v>Enterprise-United States of America-VTT</c:v>
                </c:pt>
                <c:pt idx="91">
                  <c:v>Enterprise-France-VTT</c:v>
                </c:pt>
                <c:pt idx="92">
                  <c:v>Small Business-Germany-VTT</c:v>
                </c:pt>
                <c:pt idx="93">
                  <c:v>Small Business-Mexico-VTT</c:v>
                </c:pt>
                <c:pt idx="94">
                  <c:v>Government-Mexico-VTT</c:v>
                </c:pt>
                <c:pt idx="95">
                  <c:v>Enterprise-France-VTT</c:v>
                </c:pt>
                <c:pt idx="96">
                  <c:v>Channel Partners-United States of America-Amarilla</c:v>
                </c:pt>
                <c:pt idx="97">
                  <c:v>Midmarket-France-Amarilla</c:v>
                </c:pt>
                <c:pt idx="98">
                  <c:v>Enterprise-Canada-Carretera</c:v>
                </c:pt>
                <c:pt idx="99">
                  <c:v>Channel Partners-Canada-Carretera</c:v>
                </c:pt>
                <c:pt idx="100">
                  <c:v>Small Business-Germany-Carretera</c:v>
                </c:pt>
                <c:pt idx="101">
                  <c:v>Government-France-Carretera</c:v>
                </c:pt>
                <c:pt idx="102">
                  <c:v>Government-Canada-Carretera</c:v>
                </c:pt>
                <c:pt idx="103">
                  <c:v>Channel Partners-United States of America-Montana</c:v>
                </c:pt>
                <c:pt idx="104">
                  <c:v>Government-United States of America-Montana</c:v>
                </c:pt>
                <c:pt idx="105">
                  <c:v>Channel Partners-Mexico-Montana</c:v>
                </c:pt>
                <c:pt idx="106">
                  <c:v>Enterprise-Mexico-Montana</c:v>
                </c:pt>
                <c:pt idx="107">
                  <c:v>Midmarket-Canada-Paseo</c:v>
                </c:pt>
                <c:pt idx="108">
                  <c:v>Small Business-France-Paseo</c:v>
                </c:pt>
                <c:pt idx="109">
                  <c:v>Small Business-Germany-Paseo</c:v>
                </c:pt>
                <c:pt idx="110">
                  <c:v>Channel Partners-United States of America-Paseo</c:v>
                </c:pt>
                <c:pt idx="111">
                  <c:v>Enterprise-Mexico-Paseo</c:v>
                </c:pt>
                <c:pt idx="112">
                  <c:v>Channel Partners-Canada-Paseo</c:v>
                </c:pt>
                <c:pt idx="113">
                  <c:v>Enterprise-Germany-Paseo</c:v>
                </c:pt>
                <c:pt idx="114">
                  <c:v>Enterprise-Mexico-Paseo</c:v>
                </c:pt>
                <c:pt idx="115">
                  <c:v>Channel Partners-France-Paseo</c:v>
                </c:pt>
                <c:pt idx="116">
                  <c:v>Small Business-Canada-Paseo</c:v>
                </c:pt>
                <c:pt idx="117">
                  <c:v>Government-Canada-Paseo</c:v>
                </c:pt>
                <c:pt idx="118">
                  <c:v>Enterprise-Canada-Paseo</c:v>
                </c:pt>
                <c:pt idx="119">
                  <c:v>Midmarket-United States of America-Paseo</c:v>
                </c:pt>
                <c:pt idx="120">
                  <c:v>Government-United States of America-Paseo</c:v>
                </c:pt>
                <c:pt idx="121">
                  <c:v>Channel Partners-France-Paseo</c:v>
                </c:pt>
                <c:pt idx="122">
                  <c:v>Channel Partners-Mexico-Paseo</c:v>
                </c:pt>
                <c:pt idx="123">
                  <c:v>Government-United States of America-Velo</c:v>
                </c:pt>
                <c:pt idx="124">
                  <c:v>Government-Germany-Velo</c:v>
                </c:pt>
                <c:pt idx="125">
                  <c:v>Government-Germany-Velo</c:v>
                </c:pt>
                <c:pt idx="126">
                  <c:v>Enterprise-Germany-Velo</c:v>
                </c:pt>
                <c:pt idx="127">
                  <c:v>Enterprise-Mexico-Velo</c:v>
                </c:pt>
                <c:pt idx="128">
                  <c:v>Channel Partners-France-Velo</c:v>
                </c:pt>
                <c:pt idx="129">
                  <c:v>Government-Mexico-Velo</c:v>
                </c:pt>
                <c:pt idx="130">
                  <c:v>Channel Partners-Mexico-Velo</c:v>
                </c:pt>
                <c:pt idx="131">
                  <c:v>Enterprise-Mexico-VTT</c:v>
                </c:pt>
                <c:pt idx="132">
                  <c:v>Small Business-Germany-VTT</c:v>
                </c:pt>
                <c:pt idx="133">
                  <c:v>Government-Germany-VTT</c:v>
                </c:pt>
                <c:pt idx="134">
                  <c:v>Enterprise-Canada-VTT</c:v>
                </c:pt>
                <c:pt idx="135">
                  <c:v>Government-United States of America-VTT</c:v>
                </c:pt>
                <c:pt idx="136">
                  <c:v>Government-Mexico-VTT</c:v>
                </c:pt>
                <c:pt idx="137">
                  <c:v>Small Business-Germany-Amarilla</c:v>
                </c:pt>
                <c:pt idx="138">
                  <c:v>Small Business-Mexico-Amarilla</c:v>
                </c:pt>
                <c:pt idx="139">
                  <c:v>Enterprise-Germany-Amarilla</c:v>
                </c:pt>
                <c:pt idx="140">
                  <c:v>Government-Germany-Amarilla</c:v>
                </c:pt>
                <c:pt idx="141">
                  <c:v>Government-United States of America-Amarilla</c:v>
                </c:pt>
                <c:pt idx="142">
                  <c:v>Government-France-Amarilla</c:v>
                </c:pt>
                <c:pt idx="143">
                  <c:v>Small Business-Canada-Amarilla</c:v>
                </c:pt>
                <c:pt idx="144">
                  <c:v>Enterprise-France-Carretera</c:v>
                </c:pt>
                <c:pt idx="145">
                  <c:v>Government-Germany-Carretera</c:v>
                </c:pt>
                <c:pt idx="146">
                  <c:v>Small Business-Germany-Carretera</c:v>
                </c:pt>
                <c:pt idx="147">
                  <c:v>Channel Partners-United States of America-Carretera</c:v>
                </c:pt>
                <c:pt idx="148">
                  <c:v>Channel Partners-Canada-Carretera</c:v>
                </c:pt>
                <c:pt idx="149">
                  <c:v>Government-Germany-Montana</c:v>
                </c:pt>
                <c:pt idx="150">
                  <c:v>Channel Partners-France-Montana</c:v>
                </c:pt>
                <c:pt idx="151">
                  <c:v>Government-France-Montana</c:v>
                </c:pt>
                <c:pt idx="152">
                  <c:v>Government-Germany-Montana</c:v>
                </c:pt>
                <c:pt idx="153">
                  <c:v>Enterprise-France-Montana</c:v>
                </c:pt>
                <c:pt idx="154">
                  <c:v>Enterprise-Germany-Montana</c:v>
                </c:pt>
                <c:pt idx="155">
                  <c:v>Small Business-France-Paseo</c:v>
                </c:pt>
                <c:pt idx="156">
                  <c:v>Enterprise-Canada-Paseo</c:v>
                </c:pt>
                <c:pt idx="157">
                  <c:v>Channel Partners-France-Paseo</c:v>
                </c:pt>
                <c:pt idx="158">
                  <c:v>Small Business-Germany-Paseo</c:v>
                </c:pt>
                <c:pt idx="159">
                  <c:v>Enterprise-Germany-Paseo</c:v>
                </c:pt>
                <c:pt idx="160">
                  <c:v>Channel Partners-United States of America-Paseo</c:v>
                </c:pt>
                <c:pt idx="161">
                  <c:v>Enterprise-Canada-Paseo</c:v>
                </c:pt>
                <c:pt idx="162">
                  <c:v>Midmarket-Germany-Paseo</c:v>
                </c:pt>
                <c:pt idx="163">
                  <c:v>Enterprise-France-Paseo</c:v>
                </c:pt>
                <c:pt idx="164">
                  <c:v>Enterprise-Germany-Paseo</c:v>
                </c:pt>
                <c:pt idx="165">
                  <c:v>Enterprise-Canada-Velo</c:v>
                </c:pt>
                <c:pt idx="166">
                  <c:v>Small Business-United States of America-VTT</c:v>
                </c:pt>
                <c:pt idx="167">
                  <c:v>Channel Partners-Mexico-VTT</c:v>
                </c:pt>
                <c:pt idx="168">
                  <c:v>Enterprise-Germany-VTT</c:v>
                </c:pt>
                <c:pt idx="169">
                  <c:v>Small Business-Canada-VTT</c:v>
                </c:pt>
                <c:pt idx="170">
                  <c:v>Government-Mexico-VTT</c:v>
                </c:pt>
                <c:pt idx="171">
                  <c:v>Midmarket-Germany-VTT</c:v>
                </c:pt>
                <c:pt idx="172">
                  <c:v>Government-Canada-Carretera</c:v>
                </c:pt>
                <c:pt idx="173">
                  <c:v>Government-Mexico-Paseo</c:v>
                </c:pt>
                <c:pt idx="174">
                  <c:v>Government-Canada-Velo</c:v>
                </c:pt>
                <c:pt idx="175">
                  <c:v>Channel Partners-Germany-VTT</c:v>
                </c:pt>
                <c:pt idx="176">
                  <c:v>Midmarket-Mexico-Montana</c:v>
                </c:pt>
                <c:pt idx="177">
                  <c:v>Midmarket-Mexico-Paseo</c:v>
                </c:pt>
                <c:pt idx="178">
                  <c:v>Midmarket-France-Paseo</c:v>
                </c:pt>
                <c:pt idx="179">
                  <c:v>Government-United States of America-Velo</c:v>
                </c:pt>
                <c:pt idx="180">
                  <c:v>Government-Canada-Carretera</c:v>
                </c:pt>
                <c:pt idx="181">
                  <c:v>Small Business-Germany-Carretera</c:v>
                </c:pt>
                <c:pt idx="182">
                  <c:v>Government-United States of America-Carretera</c:v>
                </c:pt>
                <c:pt idx="183">
                  <c:v>Midmarket-Canada-Montana</c:v>
                </c:pt>
                <c:pt idx="184">
                  <c:v>Small Business-Germany-Montana</c:v>
                </c:pt>
                <c:pt idx="185">
                  <c:v>Government-Canada-Montana</c:v>
                </c:pt>
                <c:pt idx="186">
                  <c:v>Small Business-Germany-Montana</c:v>
                </c:pt>
                <c:pt idx="187">
                  <c:v>Enterprise-Mexico-Montana</c:v>
                </c:pt>
                <c:pt idx="188">
                  <c:v>Government-Canada-Paseo</c:v>
                </c:pt>
                <c:pt idx="189">
                  <c:v>Enterprise-Germany-Paseo</c:v>
                </c:pt>
                <c:pt idx="190">
                  <c:v>Small Business-Germany-Paseo</c:v>
                </c:pt>
                <c:pt idx="191">
                  <c:v>Small Business-United States of America-Paseo</c:v>
                </c:pt>
                <c:pt idx="192">
                  <c:v>Government-United States of America-Paseo</c:v>
                </c:pt>
                <c:pt idx="193">
                  <c:v>Enterprise-France-Paseo</c:v>
                </c:pt>
                <c:pt idx="194">
                  <c:v>Midmarket-Canada-Paseo</c:v>
                </c:pt>
                <c:pt idx="195">
                  <c:v>Government-Canada-Paseo</c:v>
                </c:pt>
                <c:pt idx="196">
                  <c:v>Government-United States of America-Paseo</c:v>
                </c:pt>
                <c:pt idx="197">
                  <c:v>Midmarket-United States of America-Paseo</c:v>
                </c:pt>
                <c:pt idx="198">
                  <c:v>Midmarket-Mexico-Paseo</c:v>
                </c:pt>
                <c:pt idx="199">
                  <c:v>Government-United States of America-Paseo</c:v>
                </c:pt>
                <c:pt idx="200">
                  <c:v>Enterprise-Mexico-Paseo</c:v>
                </c:pt>
                <c:pt idx="201">
                  <c:v>Channel Partners-United States of America-Velo</c:v>
                </c:pt>
                <c:pt idx="202">
                  <c:v>Government-Canada-Velo</c:v>
                </c:pt>
                <c:pt idx="203">
                  <c:v>Government-France-Velo</c:v>
                </c:pt>
                <c:pt idx="204">
                  <c:v>Channel Partners-France-VTT</c:v>
                </c:pt>
                <c:pt idx="205">
                  <c:v>Government-United States of America-VTT</c:v>
                </c:pt>
                <c:pt idx="206">
                  <c:v>Government-France-VTT</c:v>
                </c:pt>
                <c:pt idx="207">
                  <c:v>Midmarket-Mexico-VTT</c:v>
                </c:pt>
                <c:pt idx="208">
                  <c:v>Government-Mexico-Amarilla</c:v>
                </c:pt>
                <c:pt idx="209">
                  <c:v>Enterprise-Mexico-Amarilla</c:v>
                </c:pt>
                <c:pt idx="210">
                  <c:v>Government-Germany-Amarilla</c:v>
                </c:pt>
                <c:pt idx="211">
                  <c:v>Midmarket-United States of America-Amarilla</c:v>
                </c:pt>
                <c:pt idx="212">
                  <c:v>Government-Canada-Amarilla</c:v>
                </c:pt>
                <c:pt idx="213">
                  <c:v>Government-Germany-Montana</c:v>
                </c:pt>
                <c:pt idx="214">
                  <c:v>Government-Germany-Paseo</c:v>
                </c:pt>
                <c:pt idx="215">
                  <c:v>Government-Canada-Paseo</c:v>
                </c:pt>
                <c:pt idx="216">
                  <c:v>Government-Mexico-Paseo</c:v>
                </c:pt>
                <c:pt idx="217">
                  <c:v>Channel Partners-Canada-Paseo</c:v>
                </c:pt>
                <c:pt idx="218">
                  <c:v>Channel Partners-Canada-Velo</c:v>
                </c:pt>
                <c:pt idx="219">
                  <c:v>Government-Mexico-VTT</c:v>
                </c:pt>
                <c:pt idx="220">
                  <c:v>Government-Mexico-Amarilla</c:v>
                </c:pt>
                <c:pt idx="221">
                  <c:v>Channel Partners-Mexico-Amarilla</c:v>
                </c:pt>
                <c:pt idx="222">
                  <c:v>Government-Germany-Amarilla</c:v>
                </c:pt>
                <c:pt idx="223">
                  <c:v>Channel Partners-France-Carretera</c:v>
                </c:pt>
                <c:pt idx="224">
                  <c:v>Channel Partners-Germany-Carretera</c:v>
                </c:pt>
                <c:pt idx="225">
                  <c:v>Government-France-Carretera</c:v>
                </c:pt>
                <c:pt idx="226">
                  <c:v>Small Business-United States of America-Carretera</c:v>
                </c:pt>
                <c:pt idx="227">
                  <c:v>Government-Germany-Carretera</c:v>
                </c:pt>
                <c:pt idx="228">
                  <c:v>Midmarket-Mexico-Carretera</c:v>
                </c:pt>
                <c:pt idx="229">
                  <c:v>Government-United States of America-Carretera</c:v>
                </c:pt>
                <c:pt idx="230">
                  <c:v>Government-France-Carretera</c:v>
                </c:pt>
                <c:pt idx="231">
                  <c:v>Government-France-Montana</c:v>
                </c:pt>
                <c:pt idx="232">
                  <c:v>Enterprise-United States of America-Montana</c:v>
                </c:pt>
                <c:pt idx="233">
                  <c:v>Government-Mexico-Montana</c:v>
                </c:pt>
                <c:pt idx="234">
                  <c:v>Channel Partners-Germany-Montana</c:v>
                </c:pt>
                <c:pt idx="235">
                  <c:v>Small Business-Mexico-Montana</c:v>
                </c:pt>
                <c:pt idx="236">
                  <c:v>Government-France-Paseo</c:v>
                </c:pt>
                <c:pt idx="237">
                  <c:v>Enterprise-United States of America-Paseo</c:v>
                </c:pt>
                <c:pt idx="238">
                  <c:v>Enterprise-France-Paseo</c:v>
                </c:pt>
                <c:pt idx="239">
                  <c:v>Small Business-Mexico-Paseo</c:v>
                </c:pt>
                <c:pt idx="240">
                  <c:v>Government-United States of America-Paseo</c:v>
                </c:pt>
                <c:pt idx="241">
                  <c:v>Small Business-United States of America-Paseo</c:v>
                </c:pt>
                <c:pt idx="242">
                  <c:v>Government-United States of America-Paseo</c:v>
                </c:pt>
                <c:pt idx="243">
                  <c:v>Midmarket-France-Paseo</c:v>
                </c:pt>
                <c:pt idx="244">
                  <c:v>Government-Canada-Paseo</c:v>
                </c:pt>
                <c:pt idx="245">
                  <c:v>Government-Canada-Paseo</c:v>
                </c:pt>
                <c:pt idx="246">
                  <c:v>Enterprise-United States of America-Paseo</c:v>
                </c:pt>
                <c:pt idx="247">
                  <c:v>Enterprise-France-Paseo</c:v>
                </c:pt>
                <c:pt idx="248">
                  <c:v>Government-Canada-Paseo</c:v>
                </c:pt>
                <c:pt idx="249">
                  <c:v>Government-United States of America-Paseo</c:v>
                </c:pt>
                <c:pt idx="250">
                  <c:v>Government-France-Paseo</c:v>
                </c:pt>
                <c:pt idx="251">
                  <c:v>Midmarket-Germany-Paseo</c:v>
                </c:pt>
                <c:pt idx="252">
                  <c:v>Midmarket-United States of America-Velo</c:v>
                </c:pt>
                <c:pt idx="253">
                  <c:v>Midmarket-Mexico-Velo</c:v>
                </c:pt>
                <c:pt idx="254">
                  <c:v>Enterprise-Germany-Velo</c:v>
                </c:pt>
                <c:pt idx="255">
                  <c:v>Government-United States of America-Velo</c:v>
                </c:pt>
                <c:pt idx="256">
                  <c:v>Government-United States of America-Velo</c:v>
                </c:pt>
                <c:pt idx="257">
                  <c:v>Government-France-Velo</c:v>
                </c:pt>
                <c:pt idx="258">
                  <c:v>Enterprise-United States of America-Velo</c:v>
                </c:pt>
                <c:pt idx="259">
                  <c:v>Enterprise-France-Velo</c:v>
                </c:pt>
                <c:pt idx="260">
                  <c:v>Government-France-Velo</c:v>
                </c:pt>
                <c:pt idx="261">
                  <c:v>Small Business-Germany-Velo</c:v>
                </c:pt>
                <c:pt idx="262">
                  <c:v>Government-Canada-VTT</c:v>
                </c:pt>
                <c:pt idx="263">
                  <c:v>Government-United States of America-VTT</c:v>
                </c:pt>
                <c:pt idx="264">
                  <c:v>Government-Germany-VTT</c:v>
                </c:pt>
                <c:pt idx="265">
                  <c:v>Government-United States of America-VTT</c:v>
                </c:pt>
                <c:pt idx="266">
                  <c:v>Government-United States of America-VTT</c:v>
                </c:pt>
                <c:pt idx="267">
                  <c:v>Government-France-VTT</c:v>
                </c:pt>
                <c:pt idx="268">
                  <c:v>Government-Germany-Amarilla</c:v>
                </c:pt>
                <c:pt idx="269">
                  <c:v>Government-Canada-Amarilla</c:v>
                </c:pt>
                <c:pt idx="270">
                  <c:v>Government-Canada-Amarilla</c:v>
                </c:pt>
                <c:pt idx="271">
                  <c:v>Small Business-Germany-Amarilla</c:v>
                </c:pt>
                <c:pt idx="272">
                  <c:v>Midmarket-France-Paseo</c:v>
                </c:pt>
                <c:pt idx="273">
                  <c:v>Government-United States of America-Carretera</c:v>
                </c:pt>
                <c:pt idx="274">
                  <c:v>Midmarket-Canada-Carretera</c:v>
                </c:pt>
                <c:pt idx="275">
                  <c:v>Channel Partners-Mexico-Carretera</c:v>
                </c:pt>
                <c:pt idx="276">
                  <c:v>Channel Partners-Canada-Carretera</c:v>
                </c:pt>
                <c:pt idx="277">
                  <c:v>Midmarket-United States of America-Carretera</c:v>
                </c:pt>
                <c:pt idx="278">
                  <c:v>Government-United States of America-Carretera</c:v>
                </c:pt>
                <c:pt idx="279">
                  <c:v>Enterprise-Germany-Carretera</c:v>
                </c:pt>
                <c:pt idx="280">
                  <c:v>Government-Mexico-Montana</c:v>
                </c:pt>
                <c:pt idx="281">
                  <c:v>Government-Germany-Montana</c:v>
                </c:pt>
                <c:pt idx="282">
                  <c:v>Government-France-Montana</c:v>
                </c:pt>
                <c:pt idx="283">
                  <c:v>Channel Partners-United States of America-Montana</c:v>
                </c:pt>
                <c:pt idx="284">
                  <c:v>Government-France-Paseo</c:v>
                </c:pt>
                <c:pt idx="285">
                  <c:v>Channel Partners-Canada-Paseo</c:v>
                </c:pt>
                <c:pt idx="286">
                  <c:v>Government-United States of America-Paseo</c:v>
                </c:pt>
                <c:pt idx="287">
                  <c:v>Enterprise-Canada-Velo</c:v>
                </c:pt>
                <c:pt idx="288">
                  <c:v>Enterprise-United States of America-Velo</c:v>
                </c:pt>
                <c:pt idx="289">
                  <c:v>Midmarket-Germany-Velo</c:v>
                </c:pt>
                <c:pt idx="290">
                  <c:v>Government-France-Velo</c:v>
                </c:pt>
                <c:pt idx="291">
                  <c:v>Government-Mexico-Velo</c:v>
                </c:pt>
                <c:pt idx="292">
                  <c:v>Small Business-France-Velo</c:v>
                </c:pt>
                <c:pt idx="293">
                  <c:v>Government-France-Velo</c:v>
                </c:pt>
                <c:pt idx="294">
                  <c:v>Midmarket-Canada-VTT</c:v>
                </c:pt>
                <c:pt idx="295">
                  <c:v>Government-Mexico-VTT</c:v>
                </c:pt>
                <c:pt idx="296">
                  <c:v>Small Business-France-VTT</c:v>
                </c:pt>
                <c:pt idx="297">
                  <c:v>Government-Mexico-VTT</c:v>
                </c:pt>
                <c:pt idx="298">
                  <c:v>Small Business-Canada-VTT</c:v>
                </c:pt>
                <c:pt idx="299">
                  <c:v>Enterprise-France-Amarilla</c:v>
                </c:pt>
                <c:pt idx="300">
                  <c:v>Government-Mexico-Amarilla</c:v>
                </c:pt>
                <c:pt idx="301">
                  <c:v>Government-United States of America-Amarilla</c:v>
                </c:pt>
                <c:pt idx="302">
                  <c:v>Government-France-Amarilla</c:v>
                </c:pt>
                <c:pt idx="303">
                  <c:v>Government-France-Amarilla</c:v>
                </c:pt>
                <c:pt idx="304">
                  <c:v>Government-France-Montana</c:v>
                </c:pt>
                <c:pt idx="305">
                  <c:v>Midmarket-United States of America-Paseo</c:v>
                </c:pt>
                <c:pt idx="306">
                  <c:v>Midmarket-Germany-Paseo</c:v>
                </c:pt>
                <c:pt idx="307">
                  <c:v>Midmarket-United States of America-Paseo</c:v>
                </c:pt>
                <c:pt idx="308">
                  <c:v>Government-France-Paseo</c:v>
                </c:pt>
                <c:pt idx="309">
                  <c:v>Government-Germany-Velo</c:v>
                </c:pt>
                <c:pt idx="310">
                  <c:v>Government-Mexico-Velo</c:v>
                </c:pt>
                <c:pt idx="311">
                  <c:v>Midmarket-United States of America-VTT</c:v>
                </c:pt>
                <c:pt idx="312">
                  <c:v>Channel Partners-Mexico-Carretera</c:v>
                </c:pt>
                <c:pt idx="313">
                  <c:v>Channel Partners-Canada-Carretera</c:v>
                </c:pt>
                <c:pt idx="314">
                  <c:v>Government-Mexico-Carretera</c:v>
                </c:pt>
                <c:pt idx="315">
                  <c:v>Channel Partners-Mexico-Montana</c:v>
                </c:pt>
                <c:pt idx="316">
                  <c:v>Channel Partners-France-Montana</c:v>
                </c:pt>
                <c:pt idx="317">
                  <c:v>Government-France-Paseo</c:v>
                </c:pt>
                <c:pt idx="318">
                  <c:v>Midmarket-Canada-Velo</c:v>
                </c:pt>
                <c:pt idx="319">
                  <c:v>Government-Canada-Velo</c:v>
                </c:pt>
                <c:pt idx="320">
                  <c:v>Government-United States of America-Velo</c:v>
                </c:pt>
                <c:pt idx="321">
                  <c:v>Government-Canada-Velo</c:v>
                </c:pt>
                <c:pt idx="322">
                  <c:v>Channel Partners-France-VTT</c:v>
                </c:pt>
                <c:pt idx="323">
                  <c:v>Channel Partners-Germany-VTT</c:v>
                </c:pt>
                <c:pt idx="324">
                  <c:v>Government-Canada-VTT</c:v>
                </c:pt>
                <c:pt idx="325">
                  <c:v>Government-Canada-Amarilla</c:v>
                </c:pt>
                <c:pt idx="326">
                  <c:v>Government-United States of America-Carretera</c:v>
                </c:pt>
                <c:pt idx="327">
                  <c:v>Small Business-France-Carretera</c:v>
                </c:pt>
                <c:pt idx="328">
                  <c:v>Small Business-France-Carretera</c:v>
                </c:pt>
                <c:pt idx="329">
                  <c:v>Government-France-Montana</c:v>
                </c:pt>
                <c:pt idx="330">
                  <c:v>Small Business-France-Montana</c:v>
                </c:pt>
                <c:pt idx="331">
                  <c:v>Enterprise-Germany-Montana</c:v>
                </c:pt>
                <c:pt idx="332">
                  <c:v>Small Business-Canada-Paseo</c:v>
                </c:pt>
                <c:pt idx="333">
                  <c:v>Small Business-France-Paseo</c:v>
                </c:pt>
                <c:pt idx="334">
                  <c:v>Enterprise-Germany-Paseo</c:v>
                </c:pt>
                <c:pt idx="335">
                  <c:v>Midmarket-France-Paseo</c:v>
                </c:pt>
                <c:pt idx="336">
                  <c:v>Midmarket-United States of America-Paseo</c:v>
                </c:pt>
                <c:pt idx="337">
                  <c:v>Government-France-Paseo</c:v>
                </c:pt>
                <c:pt idx="338">
                  <c:v>Small Business-Germany-Paseo</c:v>
                </c:pt>
                <c:pt idx="339">
                  <c:v>Small Business-Canada-Paseo</c:v>
                </c:pt>
                <c:pt idx="340">
                  <c:v>Channel Partners-Mexico-Paseo</c:v>
                </c:pt>
                <c:pt idx="341">
                  <c:v>Government-Germany-Paseo</c:v>
                </c:pt>
                <c:pt idx="342">
                  <c:v>Small Business-France-Velo</c:v>
                </c:pt>
                <c:pt idx="343">
                  <c:v>Government-Mexico-Velo</c:v>
                </c:pt>
                <c:pt idx="344">
                  <c:v>Enterprise-Germany-Velo</c:v>
                </c:pt>
                <c:pt idx="345">
                  <c:v>Government-France-Velo</c:v>
                </c:pt>
                <c:pt idx="346">
                  <c:v>Government-United States of America-Velo</c:v>
                </c:pt>
                <c:pt idx="347">
                  <c:v>Small Business-United States of America-Velo</c:v>
                </c:pt>
                <c:pt idx="348">
                  <c:v>Government-Germany-Velo</c:v>
                </c:pt>
                <c:pt idx="349">
                  <c:v>Channel Partners-Canada-VTT</c:v>
                </c:pt>
                <c:pt idx="350">
                  <c:v>Small Business-France-VTT</c:v>
                </c:pt>
                <c:pt idx="351">
                  <c:v>Small Business-Mexico-VTT</c:v>
                </c:pt>
                <c:pt idx="352">
                  <c:v>Enterprise-Canada-Amarilla</c:v>
                </c:pt>
                <c:pt idx="353">
                  <c:v>Government-France-Amarilla</c:v>
                </c:pt>
                <c:pt idx="354">
                  <c:v>Enterprise-Germany-Amarilla</c:v>
                </c:pt>
                <c:pt idx="355">
                  <c:v>Government-Canada-Amarilla</c:v>
                </c:pt>
                <c:pt idx="356">
                  <c:v>Small Business-United States of America-Amarilla</c:v>
                </c:pt>
                <c:pt idx="357">
                  <c:v>Government-Canada-Montana</c:v>
                </c:pt>
                <c:pt idx="358">
                  <c:v>Government-United States of America-Montana</c:v>
                </c:pt>
                <c:pt idx="359">
                  <c:v>Government-Canada-Paseo</c:v>
                </c:pt>
                <c:pt idx="360">
                  <c:v>Government-United States of America-Amarilla</c:v>
                </c:pt>
                <c:pt idx="361">
                  <c:v>Enterprise-Mexico-Carretera</c:v>
                </c:pt>
                <c:pt idx="362">
                  <c:v>Midmarket-France-Carretera</c:v>
                </c:pt>
                <c:pt idx="363">
                  <c:v>Government-Mexico-Carretera</c:v>
                </c:pt>
                <c:pt idx="364">
                  <c:v>Midmarket-France-Montana</c:v>
                </c:pt>
                <c:pt idx="365">
                  <c:v>Government-Canada-Montana</c:v>
                </c:pt>
                <c:pt idx="366">
                  <c:v>Government-Germany-Montana</c:v>
                </c:pt>
                <c:pt idx="367">
                  <c:v>Small Business-France-Montana</c:v>
                </c:pt>
                <c:pt idx="368">
                  <c:v>Small Business-Canada-Montana</c:v>
                </c:pt>
                <c:pt idx="369">
                  <c:v>Midmarket-Germany-Montana</c:v>
                </c:pt>
                <c:pt idx="370">
                  <c:v>Enterprise-Mexico-Paseo</c:v>
                </c:pt>
                <c:pt idx="371">
                  <c:v>Government-Germany-Paseo</c:v>
                </c:pt>
                <c:pt idx="372">
                  <c:v>Government-Germany-Paseo</c:v>
                </c:pt>
                <c:pt idx="373">
                  <c:v>Government-Germany-Paseo</c:v>
                </c:pt>
                <c:pt idx="374">
                  <c:v>Small Business-Mexico-Paseo</c:v>
                </c:pt>
                <c:pt idx="375">
                  <c:v>Government-United States of America-Paseo</c:v>
                </c:pt>
                <c:pt idx="376">
                  <c:v>Government-Germany-Paseo</c:v>
                </c:pt>
                <c:pt idx="377">
                  <c:v>Government-Germany-Paseo</c:v>
                </c:pt>
                <c:pt idx="378">
                  <c:v>Government-Germany-Paseo</c:v>
                </c:pt>
                <c:pt idx="379">
                  <c:v>Government-Mexico-Paseo</c:v>
                </c:pt>
                <c:pt idx="380">
                  <c:v>Government-Germany-Paseo</c:v>
                </c:pt>
                <c:pt idx="381">
                  <c:v>Government-Mexico-Paseo</c:v>
                </c:pt>
                <c:pt idx="382">
                  <c:v>Government-Mexico-Paseo</c:v>
                </c:pt>
                <c:pt idx="383">
                  <c:v>Channel Partners-Canada-Velo</c:v>
                </c:pt>
                <c:pt idx="384">
                  <c:v>Government-United States of America-Velo</c:v>
                </c:pt>
                <c:pt idx="385">
                  <c:v>Government-Germany-Velo</c:v>
                </c:pt>
                <c:pt idx="386">
                  <c:v>Small Business-France-Velo</c:v>
                </c:pt>
                <c:pt idx="387">
                  <c:v>Small Business-Mexico-Velo</c:v>
                </c:pt>
                <c:pt idx="388">
                  <c:v>Government-France-VTT</c:v>
                </c:pt>
                <c:pt idx="389">
                  <c:v>Government-Germany-VTT</c:v>
                </c:pt>
                <c:pt idx="390">
                  <c:v>Government-France-VTT</c:v>
                </c:pt>
                <c:pt idx="391">
                  <c:v>Government-Germany-VTT</c:v>
                </c:pt>
                <c:pt idx="392">
                  <c:v>Small Business-Canada-VTT</c:v>
                </c:pt>
                <c:pt idx="393">
                  <c:v>Small Business-United States of America-VTT</c:v>
                </c:pt>
                <c:pt idx="394">
                  <c:v>Government-Canada-Amarilla</c:v>
                </c:pt>
                <c:pt idx="395">
                  <c:v>Government-United States of America-Amarilla</c:v>
                </c:pt>
                <c:pt idx="396">
                  <c:v>Government-Germany-Amarilla</c:v>
                </c:pt>
                <c:pt idx="397">
                  <c:v>Small Business-Mexico-Amarilla</c:v>
                </c:pt>
                <c:pt idx="398">
                  <c:v>Government-Germany-Amarilla</c:v>
                </c:pt>
                <c:pt idx="399">
                  <c:v>Midmarket-Germany-Amarilla</c:v>
                </c:pt>
                <c:pt idx="400">
                  <c:v>Channel Partners-Mexico-Amarilla</c:v>
                </c:pt>
                <c:pt idx="401">
                  <c:v>Small Business-Mexico-Amarilla</c:v>
                </c:pt>
                <c:pt idx="402">
                  <c:v>Government-United States of America-VTT</c:v>
                </c:pt>
                <c:pt idx="403">
                  <c:v>Small Business-Canada-Carretera</c:v>
                </c:pt>
                <c:pt idx="404">
                  <c:v>Channel Partners-Mexico-Carretera</c:v>
                </c:pt>
                <c:pt idx="405">
                  <c:v>Small Business-Canada-Montana</c:v>
                </c:pt>
                <c:pt idx="406">
                  <c:v>Government-France-Montana</c:v>
                </c:pt>
                <c:pt idx="407">
                  <c:v>Small Business-France-Montana</c:v>
                </c:pt>
                <c:pt idx="408">
                  <c:v>Channel Partners-Canada-Montana</c:v>
                </c:pt>
                <c:pt idx="409">
                  <c:v>Enterprise-France-Montana</c:v>
                </c:pt>
                <c:pt idx="410">
                  <c:v>Government-Canada-Montana</c:v>
                </c:pt>
                <c:pt idx="411">
                  <c:v>Enterprise-United States of America-Montana</c:v>
                </c:pt>
                <c:pt idx="412">
                  <c:v>Small Business-Germany-Montana</c:v>
                </c:pt>
                <c:pt idx="413">
                  <c:v>Small Business-Mexico-Paseo</c:v>
                </c:pt>
                <c:pt idx="414">
                  <c:v>Government-Mexico-Paseo</c:v>
                </c:pt>
                <c:pt idx="415">
                  <c:v>Midmarket-United States of America-Paseo</c:v>
                </c:pt>
                <c:pt idx="416">
                  <c:v>Small Business-Canada-Paseo</c:v>
                </c:pt>
                <c:pt idx="417">
                  <c:v>Midmarket-France-Paseo</c:v>
                </c:pt>
                <c:pt idx="418">
                  <c:v>Channel Partners-Mexico-Paseo</c:v>
                </c:pt>
                <c:pt idx="419">
                  <c:v>Small Business-France-Paseo</c:v>
                </c:pt>
                <c:pt idx="420">
                  <c:v>Channel Partners-Germany-Paseo</c:v>
                </c:pt>
                <c:pt idx="421">
                  <c:v>Enterprise-United States of America-Paseo</c:v>
                </c:pt>
                <c:pt idx="422">
                  <c:v>Midmarket-Mexico-Velo</c:v>
                </c:pt>
                <c:pt idx="423">
                  <c:v>Small Business-Canada-Velo</c:v>
                </c:pt>
                <c:pt idx="424">
                  <c:v>Government-Germany-Velo</c:v>
                </c:pt>
                <c:pt idx="425">
                  <c:v>Enterprise-Canada-Velo</c:v>
                </c:pt>
                <c:pt idx="426">
                  <c:v>Enterprise-Mexico-Velo</c:v>
                </c:pt>
                <c:pt idx="427">
                  <c:v>Government-Canada-Velo</c:v>
                </c:pt>
                <c:pt idx="428">
                  <c:v>Channel Partners-United States of America-VTT</c:v>
                </c:pt>
                <c:pt idx="429">
                  <c:v>Small Business-Germany-VTT</c:v>
                </c:pt>
                <c:pt idx="430">
                  <c:v>Government-United States of America-VTT</c:v>
                </c:pt>
                <c:pt idx="431">
                  <c:v>Channel Partners-Germany-VTT</c:v>
                </c:pt>
                <c:pt idx="432">
                  <c:v>Small Business-United States of America-VTT</c:v>
                </c:pt>
                <c:pt idx="433">
                  <c:v>Channel Partners-France-VTT</c:v>
                </c:pt>
                <c:pt idx="434">
                  <c:v>Midmarket-France-VTT</c:v>
                </c:pt>
                <c:pt idx="435">
                  <c:v>Enterprise-Mexico-VTT</c:v>
                </c:pt>
                <c:pt idx="436">
                  <c:v>Government-United States of America-Amarilla</c:v>
                </c:pt>
                <c:pt idx="437">
                  <c:v>Government-Canada-Amarilla</c:v>
                </c:pt>
                <c:pt idx="438">
                  <c:v>Midmarket-Germany-Amarilla</c:v>
                </c:pt>
                <c:pt idx="439">
                  <c:v>Government-Mexico-Amarilla</c:v>
                </c:pt>
                <c:pt idx="440">
                  <c:v>Government-Germany-Carretera</c:v>
                </c:pt>
                <c:pt idx="441">
                  <c:v>Government-Canada-Carretera</c:v>
                </c:pt>
                <c:pt idx="442">
                  <c:v>Channel Partners-Germany-Carretera</c:v>
                </c:pt>
                <c:pt idx="443">
                  <c:v>Government-Mexico-Carretera</c:v>
                </c:pt>
                <c:pt idx="444">
                  <c:v>Government-United States of America-Paseo</c:v>
                </c:pt>
                <c:pt idx="445">
                  <c:v>Government-Mexico-Paseo</c:v>
                </c:pt>
                <c:pt idx="446">
                  <c:v>Government-Germany-Paseo</c:v>
                </c:pt>
                <c:pt idx="447">
                  <c:v>Channel Partners-France-Velo</c:v>
                </c:pt>
                <c:pt idx="448">
                  <c:v>Midmarket-Mexico-Velo</c:v>
                </c:pt>
                <c:pt idx="449">
                  <c:v>Government-Germany-VTT</c:v>
                </c:pt>
                <c:pt idx="450">
                  <c:v>Government-France-VTT</c:v>
                </c:pt>
                <c:pt idx="451">
                  <c:v>Government-Mexico-VTT</c:v>
                </c:pt>
                <c:pt idx="452">
                  <c:v>Government-Mexico-Amarilla</c:v>
                </c:pt>
                <c:pt idx="453">
                  <c:v>Midmarket-Canada-Amarilla</c:v>
                </c:pt>
                <c:pt idx="454">
                  <c:v>Channel Partners-France-Amarilla</c:v>
                </c:pt>
                <c:pt idx="455">
                  <c:v>Channel Partners-United States of America-Carretera</c:v>
                </c:pt>
                <c:pt idx="456">
                  <c:v>Government-United States of America-Montana</c:v>
                </c:pt>
                <c:pt idx="457">
                  <c:v>Channel Partners-United States of America-Paseo</c:v>
                </c:pt>
                <c:pt idx="458">
                  <c:v>Enterprise-United States of America-Carretera</c:v>
                </c:pt>
                <c:pt idx="459">
                  <c:v>Enterprise-France-Carretera</c:v>
                </c:pt>
                <c:pt idx="460">
                  <c:v>Government-United States of America-Montana</c:v>
                </c:pt>
                <c:pt idx="461">
                  <c:v>Enterprise-United States of America-Montana</c:v>
                </c:pt>
                <c:pt idx="462">
                  <c:v>Midmarket-France-Montana</c:v>
                </c:pt>
                <c:pt idx="463">
                  <c:v>Government-France-Paseo</c:v>
                </c:pt>
                <c:pt idx="464">
                  <c:v>Small Business-Mexico-Paseo</c:v>
                </c:pt>
                <c:pt idx="465">
                  <c:v>Midmarket-France-Paseo</c:v>
                </c:pt>
                <c:pt idx="466">
                  <c:v>Government-Germany-Paseo</c:v>
                </c:pt>
                <c:pt idx="467">
                  <c:v>Midmarket-Germany-Velo</c:v>
                </c:pt>
                <c:pt idx="468">
                  <c:v>Midmarket-Germany-Velo</c:v>
                </c:pt>
                <c:pt idx="469">
                  <c:v>Midmarket-United States of America-Velo</c:v>
                </c:pt>
                <c:pt idx="470">
                  <c:v>Government-France-Velo</c:v>
                </c:pt>
                <c:pt idx="471">
                  <c:v>Enterprise-United States of America-Velo</c:v>
                </c:pt>
                <c:pt idx="472">
                  <c:v>Small Business-United States of America-Velo</c:v>
                </c:pt>
                <c:pt idx="473">
                  <c:v>Government-Germany-Velo</c:v>
                </c:pt>
                <c:pt idx="474">
                  <c:v>Government-Germany-Velo</c:v>
                </c:pt>
                <c:pt idx="475">
                  <c:v>Enterprise-Canada-Velo</c:v>
                </c:pt>
                <c:pt idx="476">
                  <c:v>Small Business-France-Velo</c:v>
                </c:pt>
                <c:pt idx="477">
                  <c:v>Enterprise-Mexico-VTT</c:v>
                </c:pt>
                <c:pt idx="478">
                  <c:v>Midmarket-Mexico-VTT</c:v>
                </c:pt>
                <c:pt idx="479">
                  <c:v>Government-United States of America-VTT</c:v>
                </c:pt>
                <c:pt idx="480">
                  <c:v>Small Business-Mexico-VTT</c:v>
                </c:pt>
                <c:pt idx="481">
                  <c:v>Small Business-United States of America-VTT</c:v>
                </c:pt>
                <c:pt idx="482">
                  <c:v>Midmarket-France-VTT</c:v>
                </c:pt>
                <c:pt idx="483">
                  <c:v>Enterprise-Canada-VTT</c:v>
                </c:pt>
                <c:pt idx="484">
                  <c:v>Government-Germany-VTT</c:v>
                </c:pt>
                <c:pt idx="485">
                  <c:v>Enterprise-United States of America-Amarilla</c:v>
                </c:pt>
                <c:pt idx="486">
                  <c:v>Government-Canada-Amarilla</c:v>
                </c:pt>
                <c:pt idx="487">
                  <c:v>Small Business-United States of America-Amarilla</c:v>
                </c:pt>
                <c:pt idx="488">
                  <c:v>Channel Partners-Canada-Amarilla</c:v>
                </c:pt>
                <c:pt idx="489">
                  <c:v>Government-Mexico-Amarilla</c:v>
                </c:pt>
                <c:pt idx="490">
                  <c:v>Channel Partners-Germany-Amarilla</c:v>
                </c:pt>
                <c:pt idx="491">
                  <c:v>Government-Canada-Amarilla</c:v>
                </c:pt>
                <c:pt idx="492">
                  <c:v>Midmarket-France-Amarilla</c:v>
                </c:pt>
                <c:pt idx="493">
                  <c:v>Small Business-France-Amarilla</c:v>
                </c:pt>
                <c:pt idx="494">
                  <c:v>Channel Partners-France-Carretera</c:v>
                </c:pt>
                <c:pt idx="495">
                  <c:v>Government-France-Paseo</c:v>
                </c:pt>
                <c:pt idx="496">
                  <c:v>Channel Partners-France-Paseo</c:v>
                </c:pt>
                <c:pt idx="497">
                  <c:v>Midmarket-Canada-Velo</c:v>
                </c:pt>
                <c:pt idx="498">
                  <c:v>Channel Partners-Germany-Velo</c:v>
                </c:pt>
                <c:pt idx="499">
                  <c:v>Government-United States of America-VTT</c:v>
                </c:pt>
                <c:pt idx="500">
                  <c:v>Channel Partners-Mexico-VTT</c:v>
                </c:pt>
                <c:pt idx="501">
                  <c:v>Midmarket-United States of America-Amarilla</c:v>
                </c:pt>
                <c:pt idx="502">
                  <c:v>Channel Partners-Germany-Amarilla</c:v>
                </c:pt>
                <c:pt idx="503">
                  <c:v>Channel Partners-Canada-Carretera</c:v>
                </c:pt>
                <c:pt idx="504">
                  <c:v>Government-Germany-Carretera</c:v>
                </c:pt>
                <c:pt idx="505">
                  <c:v>Small Business-Germany-Carretera</c:v>
                </c:pt>
                <c:pt idx="506">
                  <c:v>Enterprise-France-Carretera</c:v>
                </c:pt>
                <c:pt idx="507">
                  <c:v>Midmarket-Canada-Carretera</c:v>
                </c:pt>
                <c:pt idx="508">
                  <c:v>Government-Mexico-Carretera</c:v>
                </c:pt>
                <c:pt idx="509">
                  <c:v>Government-Germany-Montana</c:v>
                </c:pt>
                <c:pt idx="510">
                  <c:v>Government-Germany-Montana</c:v>
                </c:pt>
                <c:pt idx="511">
                  <c:v>Midmarket-Mexico-Montana</c:v>
                </c:pt>
                <c:pt idx="512">
                  <c:v>Small Business-Canada-Paseo</c:v>
                </c:pt>
                <c:pt idx="513">
                  <c:v>Government-Mexico-Paseo</c:v>
                </c:pt>
                <c:pt idx="514">
                  <c:v>Government-Canada-Paseo</c:v>
                </c:pt>
                <c:pt idx="515">
                  <c:v>Channel Partners-Canada-Paseo</c:v>
                </c:pt>
                <c:pt idx="516">
                  <c:v>Channel Partners-France-Paseo</c:v>
                </c:pt>
                <c:pt idx="517">
                  <c:v>Government-Canada-Paseo</c:v>
                </c:pt>
                <c:pt idx="518">
                  <c:v>Midmarket-Mexico-Paseo</c:v>
                </c:pt>
                <c:pt idx="519">
                  <c:v>Enterprise-France-Paseo</c:v>
                </c:pt>
                <c:pt idx="520">
                  <c:v>Government-Germany-Paseo</c:v>
                </c:pt>
                <c:pt idx="521">
                  <c:v>Small Business-Canada-Paseo</c:v>
                </c:pt>
                <c:pt idx="522">
                  <c:v>Government-France-Velo</c:v>
                </c:pt>
                <c:pt idx="523">
                  <c:v>Midmarket-Mexico-Velo</c:v>
                </c:pt>
                <c:pt idx="524">
                  <c:v>Government-Mexico-Velo</c:v>
                </c:pt>
                <c:pt idx="525">
                  <c:v>Government-Canada-Velo</c:v>
                </c:pt>
                <c:pt idx="526">
                  <c:v>Channel Partners-France-VTT</c:v>
                </c:pt>
                <c:pt idx="527">
                  <c:v>Enterprise-Mexico-VTT</c:v>
                </c:pt>
                <c:pt idx="528">
                  <c:v>Government-Canada-VTT</c:v>
                </c:pt>
                <c:pt idx="529">
                  <c:v>Enterprise-Germany-Amarilla</c:v>
                </c:pt>
                <c:pt idx="530">
                  <c:v>Government-Mexico-Amarilla</c:v>
                </c:pt>
                <c:pt idx="531">
                  <c:v>Enterprise-France-Amarilla</c:v>
                </c:pt>
                <c:pt idx="532">
                  <c:v>Enterprise-Mexico-Amarilla</c:v>
                </c:pt>
                <c:pt idx="533">
                  <c:v>Government-Mexico-Amarilla</c:v>
                </c:pt>
                <c:pt idx="534">
                  <c:v>Midmarket-Mexico-Amarilla</c:v>
                </c:pt>
                <c:pt idx="535">
                  <c:v>Government-United States of America-Paseo</c:v>
                </c:pt>
                <c:pt idx="536">
                  <c:v>Government-Mexico-Carretera</c:v>
                </c:pt>
                <c:pt idx="537">
                  <c:v>Enterprise-Canada-Carretera</c:v>
                </c:pt>
                <c:pt idx="538">
                  <c:v>Enterprise-Mexico-Carretera</c:v>
                </c:pt>
                <c:pt idx="539">
                  <c:v>Midmarket-Canada-Carretera</c:v>
                </c:pt>
                <c:pt idx="540">
                  <c:v>Midmarket-United States of America-Montana</c:v>
                </c:pt>
                <c:pt idx="541">
                  <c:v>Small Business-France-Montana</c:v>
                </c:pt>
                <c:pt idx="542">
                  <c:v>Government-Mexico-Montana</c:v>
                </c:pt>
                <c:pt idx="543">
                  <c:v>Government-Canada-Montana</c:v>
                </c:pt>
                <c:pt idx="544">
                  <c:v>Government-Mexico-Montana</c:v>
                </c:pt>
                <c:pt idx="545">
                  <c:v>Small Business-France-Montana</c:v>
                </c:pt>
                <c:pt idx="546">
                  <c:v>Small Business-United States of America-Paseo</c:v>
                </c:pt>
                <c:pt idx="547">
                  <c:v>Government-Mexico-Paseo</c:v>
                </c:pt>
                <c:pt idx="548">
                  <c:v>Enterprise-Mexico-Paseo</c:v>
                </c:pt>
                <c:pt idx="549">
                  <c:v>Government-Mexico-Paseo</c:v>
                </c:pt>
                <c:pt idx="550">
                  <c:v>Government-Mexico-Paseo</c:v>
                </c:pt>
                <c:pt idx="551">
                  <c:v>Government-France-Paseo</c:v>
                </c:pt>
                <c:pt idx="552">
                  <c:v>Small Business-Germany-Paseo</c:v>
                </c:pt>
                <c:pt idx="553">
                  <c:v>Small Business-Mexico-Paseo</c:v>
                </c:pt>
                <c:pt idx="554">
                  <c:v>Government-Mexico-Paseo</c:v>
                </c:pt>
                <c:pt idx="555">
                  <c:v>Midmarket-Mexico-Paseo</c:v>
                </c:pt>
                <c:pt idx="556">
                  <c:v>Government-Mexico-Paseo</c:v>
                </c:pt>
                <c:pt idx="557">
                  <c:v>Government-Mexico-Velo</c:v>
                </c:pt>
                <c:pt idx="558">
                  <c:v>Government-United States of America-Velo</c:v>
                </c:pt>
                <c:pt idx="559">
                  <c:v>Government-Mexico-Velo</c:v>
                </c:pt>
                <c:pt idx="560">
                  <c:v>Channel Partners-Canada-VTT</c:v>
                </c:pt>
                <c:pt idx="561">
                  <c:v>Midmarket-France-VTT</c:v>
                </c:pt>
                <c:pt idx="562">
                  <c:v>Government-Canada-VTT</c:v>
                </c:pt>
                <c:pt idx="563">
                  <c:v>Government-United States of America-VTT</c:v>
                </c:pt>
                <c:pt idx="564">
                  <c:v>Enterprise-United States of America-VTT</c:v>
                </c:pt>
                <c:pt idx="565">
                  <c:v>Government-Mexico-VTT</c:v>
                </c:pt>
                <c:pt idx="566">
                  <c:v>Government-United States of America-Amarilla</c:v>
                </c:pt>
                <c:pt idx="567">
                  <c:v>Government-France-Amarilla</c:v>
                </c:pt>
                <c:pt idx="568">
                  <c:v>Government-Canada-Amarilla</c:v>
                </c:pt>
                <c:pt idx="569">
                  <c:v>Midmarket-United States of America-Amarilla</c:v>
                </c:pt>
                <c:pt idx="570">
                  <c:v>Government-France-Carretera</c:v>
                </c:pt>
                <c:pt idx="571">
                  <c:v>Channel Partners-Mexico-Montana</c:v>
                </c:pt>
                <c:pt idx="572">
                  <c:v>Government-Germany-Paseo</c:v>
                </c:pt>
                <c:pt idx="573">
                  <c:v>Government-France-VTT</c:v>
                </c:pt>
                <c:pt idx="574">
                  <c:v>Government-Germany-VTT</c:v>
                </c:pt>
                <c:pt idx="575">
                  <c:v>Channel Partners-Canada-Amarilla</c:v>
                </c:pt>
                <c:pt idx="576">
                  <c:v>Midmarket-United States of America-Carretera</c:v>
                </c:pt>
                <c:pt idx="577">
                  <c:v>Midmarket-United States of America-VTT</c:v>
                </c:pt>
                <c:pt idx="578">
                  <c:v>Government-Canada-Carretera</c:v>
                </c:pt>
                <c:pt idx="579">
                  <c:v>Government-France-Carretera</c:v>
                </c:pt>
                <c:pt idx="580">
                  <c:v>Government-Germany-Carretera</c:v>
                </c:pt>
                <c:pt idx="581">
                  <c:v>Government-United States of America-Montana</c:v>
                </c:pt>
                <c:pt idx="582">
                  <c:v>Government-United States of America-Montana</c:v>
                </c:pt>
                <c:pt idx="583">
                  <c:v>Channel Partners-Mexico-Montana</c:v>
                </c:pt>
                <c:pt idx="584">
                  <c:v>Government-Mexico-Montana</c:v>
                </c:pt>
                <c:pt idx="585">
                  <c:v>Government-Canada-Montana</c:v>
                </c:pt>
                <c:pt idx="586">
                  <c:v>Government-United States of America-Paseo</c:v>
                </c:pt>
                <c:pt idx="587">
                  <c:v>Small Business-Germany-Paseo</c:v>
                </c:pt>
                <c:pt idx="588">
                  <c:v>Government-United States of America-Paseo</c:v>
                </c:pt>
                <c:pt idx="589">
                  <c:v>Government-Germany-Paseo</c:v>
                </c:pt>
                <c:pt idx="590">
                  <c:v>Government-Canada-Paseo</c:v>
                </c:pt>
                <c:pt idx="591">
                  <c:v>Enterprise-Canada-Paseo</c:v>
                </c:pt>
                <c:pt idx="592">
                  <c:v>Channel Partners-Mexico-Paseo</c:v>
                </c:pt>
                <c:pt idx="593">
                  <c:v>Government-France-Paseo</c:v>
                </c:pt>
                <c:pt idx="594">
                  <c:v>Midmarket-Canada-Paseo</c:v>
                </c:pt>
                <c:pt idx="595">
                  <c:v>Government-Canada-Paseo</c:v>
                </c:pt>
                <c:pt idx="596">
                  <c:v>Government-Germany-Paseo</c:v>
                </c:pt>
                <c:pt idx="597">
                  <c:v>Channel Partners-Germany-Paseo</c:v>
                </c:pt>
                <c:pt idx="598">
                  <c:v>Midmarket-France-Velo</c:v>
                </c:pt>
                <c:pt idx="599">
                  <c:v>Government-Canada-Velo</c:v>
                </c:pt>
                <c:pt idx="600">
                  <c:v>Government-France-Velo</c:v>
                </c:pt>
                <c:pt idx="601">
                  <c:v>Channel Partners-Mexico-Velo</c:v>
                </c:pt>
                <c:pt idx="602">
                  <c:v>Midmarket-Germany-Velo</c:v>
                </c:pt>
                <c:pt idx="603">
                  <c:v>Channel Partners-Mexico-Velo</c:v>
                </c:pt>
                <c:pt idx="604">
                  <c:v>Small Business-Mexico-Velo</c:v>
                </c:pt>
                <c:pt idx="605">
                  <c:v>Channel Partners-Germany-Velo</c:v>
                </c:pt>
                <c:pt idx="606">
                  <c:v>Enterprise-Canada-VTT</c:v>
                </c:pt>
                <c:pt idx="607">
                  <c:v>Midmarket-Canada-VTT</c:v>
                </c:pt>
                <c:pt idx="608">
                  <c:v>Enterprise-Canada-Amarilla</c:v>
                </c:pt>
                <c:pt idx="609">
                  <c:v>Government-France-Amarilla</c:v>
                </c:pt>
                <c:pt idx="610">
                  <c:v>Channel Partners-Mexico-Amarilla</c:v>
                </c:pt>
                <c:pt idx="611">
                  <c:v>Channel Partners-Germany-Amarilla</c:v>
                </c:pt>
                <c:pt idx="612">
                  <c:v>Government-Mexico-Carretera</c:v>
                </c:pt>
                <c:pt idx="613">
                  <c:v>Government-United States of America-Carretera</c:v>
                </c:pt>
                <c:pt idx="614">
                  <c:v>Government-United States of America-Carretera</c:v>
                </c:pt>
                <c:pt idx="615">
                  <c:v>Government-Germany-Carretera</c:v>
                </c:pt>
                <c:pt idx="616">
                  <c:v>Government-France-Montana</c:v>
                </c:pt>
                <c:pt idx="617">
                  <c:v>Government-United States of America-Montana</c:v>
                </c:pt>
                <c:pt idx="618">
                  <c:v>Midmarket-Germany-Paseo</c:v>
                </c:pt>
                <c:pt idx="619">
                  <c:v>Government-Canada-Paseo</c:v>
                </c:pt>
                <c:pt idx="620">
                  <c:v>Midmarket-United States of America-Paseo</c:v>
                </c:pt>
                <c:pt idx="621">
                  <c:v>Channel Partners-France-Paseo</c:v>
                </c:pt>
                <c:pt idx="622">
                  <c:v>Government-Germany-VTT</c:v>
                </c:pt>
                <c:pt idx="623">
                  <c:v>Channel Partners-France-Amarilla</c:v>
                </c:pt>
                <c:pt idx="624">
                  <c:v>Channel Partners-United States of America-Amarilla</c:v>
                </c:pt>
                <c:pt idx="625">
                  <c:v>Small Business-Mexico-Carretera</c:v>
                </c:pt>
                <c:pt idx="626">
                  <c:v>Enterprise-France-Carretera</c:v>
                </c:pt>
                <c:pt idx="627">
                  <c:v>Small Business-Canada-Carretera</c:v>
                </c:pt>
                <c:pt idx="628">
                  <c:v>Small Business-United States of America-Carretera</c:v>
                </c:pt>
                <c:pt idx="629">
                  <c:v>Midmarket-Germany-Carretera</c:v>
                </c:pt>
                <c:pt idx="630">
                  <c:v>Midmarket-Canada-Carretera</c:v>
                </c:pt>
                <c:pt idx="631">
                  <c:v>Enterprise-Mexico-Carretera</c:v>
                </c:pt>
                <c:pt idx="632">
                  <c:v>Government-Canada-Montana</c:v>
                </c:pt>
                <c:pt idx="633">
                  <c:v>Government-Germany-Montana</c:v>
                </c:pt>
                <c:pt idx="634">
                  <c:v>Government-Canada-Montana</c:v>
                </c:pt>
                <c:pt idx="635">
                  <c:v>Government-Canada-Montana</c:v>
                </c:pt>
                <c:pt idx="636">
                  <c:v>Government-Mexico-Montana</c:v>
                </c:pt>
                <c:pt idx="637">
                  <c:v>Midmarket-Canada-Montana</c:v>
                </c:pt>
                <c:pt idx="638">
                  <c:v>Government-Mexico-Paseo</c:v>
                </c:pt>
                <c:pt idx="639">
                  <c:v>Midmarket-Canada-Paseo</c:v>
                </c:pt>
                <c:pt idx="640">
                  <c:v>Midmarket-Canada-Paseo</c:v>
                </c:pt>
                <c:pt idx="641">
                  <c:v>Channel Partners-United States of America-Paseo</c:v>
                </c:pt>
                <c:pt idx="642">
                  <c:v>Government-France-Paseo</c:v>
                </c:pt>
                <c:pt idx="643">
                  <c:v>Government-Canada-Paseo</c:v>
                </c:pt>
                <c:pt idx="644">
                  <c:v>Channel Partners-Canada-Paseo</c:v>
                </c:pt>
                <c:pt idx="645">
                  <c:v>Government-United States of America-Paseo</c:v>
                </c:pt>
                <c:pt idx="646">
                  <c:v>Government-France-Paseo</c:v>
                </c:pt>
                <c:pt idx="647">
                  <c:v>Enterprise-Mexico-Velo</c:v>
                </c:pt>
                <c:pt idx="648">
                  <c:v>Government-United States of America-Velo</c:v>
                </c:pt>
                <c:pt idx="649">
                  <c:v>Small Business-United States of America-Velo</c:v>
                </c:pt>
                <c:pt idx="650">
                  <c:v>Small Business-Canada-Velo</c:v>
                </c:pt>
                <c:pt idx="651">
                  <c:v>Small Business-Germany-Velo</c:v>
                </c:pt>
                <c:pt idx="652">
                  <c:v>Government-Mexico-VTT</c:v>
                </c:pt>
                <c:pt idx="653">
                  <c:v>Small Business-United States of America-VTT</c:v>
                </c:pt>
                <c:pt idx="654">
                  <c:v>Small Business-Canada-VTT</c:v>
                </c:pt>
                <c:pt idx="655">
                  <c:v>Small Business-Canada-VTT</c:v>
                </c:pt>
                <c:pt idx="656">
                  <c:v>Small Business-United States of America-VTT</c:v>
                </c:pt>
                <c:pt idx="657">
                  <c:v>Government-France-VTT</c:v>
                </c:pt>
                <c:pt idx="658">
                  <c:v>Small Business-Canada-Amarilla</c:v>
                </c:pt>
                <c:pt idx="659">
                  <c:v>Enterprise-United States of America-Amarilla</c:v>
                </c:pt>
                <c:pt idx="660">
                  <c:v>Channel Partners-France-Amarilla</c:v>
                </c:pt>
                <c:pt idx="661">
                  <c:v>Midmarket-Canada-Amarilla</c:v>
                </c:pt>
                <c:pt idx="662">
                  <c:v>Channel Partners-United States of America-Amarilla</c:v>
                </c:pt>
                <c:pt idx="663">
                  <c:v>Government-France-Amarilla</c:v>
                </c:pt>
                <c:pt idx="664">
                  <c:v>Government-Mexico-Amarilla</c:v>
                </c:pt>
                <c:pt idx="665">
                  <c:v>Midmarket-Mexico-Amarilla</c:v>
                </c:pt>
                <c:pt idx="666">
                  <c:v>Enterprise-France-Carretera</c:v>
                </c:pt>
                <c:pt idx="667">
                  <c:v>Enterprise-Germany-Carretera</c:v>
                </c:pt>
                <c:pt idx="668">
                  <c:v>Enterprise-Germany-Carretera</c:v>
                </c:pt>
                <c:pt idx="669">
                  <c:v>Small Business-Mexico-Montana</c:v>
                </c:pt>
                <c:pt idx="670">
                  <c:v>Government-Germany-Paseo</c:v>
                </c:pt>
                <c:pt idx="671">
                  <c:v>Midmarket-Canada-Paseo</c:v>
                </c:pt>
                <c:pt idx="672">
                  <c:v>Government-Mexico-Paseo</c:v>
                </c:pt>
                <c:pt idx="673">
                  <c:v>Government-Mexico-Paseo</c:v>
                </c:pt>
                <c:pt idx="674">
                  <c:v>Midmarket-Canada-Paseo</c:v>
                </c:pt>
                <c:pt idx="675">
                  <c:v>Government-United States of America-Paseo</c:v>
                </c:pt>
                <c:pt idx="676">
                  <c:v>Enterprise-Germany-Paseo</c:v>
                </c:pt>
                <c:pt idx="677">
                  <c:v>Midmarket-Germany-Paseo</c:v>
                </c:pt>
                <c:pt idx="678">
                  <c:v>Government-United States of America-Paseo</c:v>
                </c:pt>
                <c:pt idx="679">
                  <c:v>Government-Mexico-Paseo</c:v>
                </c:pt>
                <c:pt idx="680">
                  <c:v>Channel Partners-United States of America-Paseo</c:v>
                </c:pt>
                <c:pt idx="681">
                  <c:v>Government-France-Paseo</c:v>
                </c:pt>
                <c:pt idx="682">
                  <c:v>Channel Partners-Mexico-Velo</c:v>
                </c:pt>
                <c:pt idx="683">
                  <c:v>Midmarket-France-Velo</c:v>
                </c:pt>
                <c:pt idx="684">
                  <c:v>Enterprise-France-Velo</c:v>
                </c:pt>
                <c:pt idx="685">
                  <c:v>Small Business-United States of America-Velo</c:v>
                </c:pt>
                <c:pt idx="686">
                  <c:v>Enterprise-United States of America-Velo</c:v>
                </c:pt>
                <c:pt idx="687">
                  <c:v>Channel Partners-United States of America-Velo</c:v>
                </c:pt>
                <c:pt idx="688">
                  <c:v>Government-Canada-VTT</c:v>
                </c:pt>
                <c:pt idx="689">
                  <c:v>Midmarket-Germany-VTT</c:v>
                </c:pt>
                <c:pt idx="690">
                  <c:v>Government-United States of America-VTT</c:v>
                </c:pt>
                <c:pt idx="691">
                  <c:v>Midmarket-Germany-VTT</c:v>
                </c:pt>
                <c:pt idx="692">
                  <c:v>Enterprise-Canada-VTT</c:v>
                </c:pt>
                <c:pt idx="693">
                  <c:v>Enterprise-Germany-VTT</c:v>
                </c:pt>
                <c:pt idx="694">
                  <c:v>Government-France-VTT</c:v>
                </c:pt>
                <c:pt idx="695">
                  <c:v>Small Business-France-Amarilla</c:v>
                </c:pt>
                <c:pt idx="696">
                  <c:v>Small Business-Mexico-Amarilla</c:v>
                </c:pt>
                <c:pt idx="697">
                  <c:v>Government-Mexico-Montana</c:v>
                </c:pt>
                <c:pt idx="698">
                  <c:v>Government-Canada-Paseo</c:v>
                </c:pt>
                <c:pt idx="699">
                  <c:v>Channel Partners-United States of America-VTT</c:v>
                </c:pt>
              </c:strCache>
            </c:strRef>
          </c:xVal>
          <c:yVal>
            <c:numRef>
              <c:f>Sheet1!$J$4:$J$703</c:f>
              <c:numCache>
                <c:formatCode>m/d/yyyy</c:formatCode>
                <c:ptCount val="700"/>
                <c:pt idx="0">
                  <c:v>41640</c:v>
                </c:pt>
                <c:pt idx="1">
                  <c:v>41640</c:v>
                </c:pt>
                <c:pt idx="2">
                  <c:v>41645</c:v>
                </c:pt>
                <c:pt idx="3">
                  <c:v>41645</c:v>
                </c:pt>
                <c:pt idx="4">
                  <c:v>41645</c:v>
                </c:pt>
                <c:pt idx="5">
                  <c:v>41651</c:v>
                </c:pt>
                <c:pt idx="6">
                  <c:v>41642</c:v>
                </c:pt>
                <c:pt idx="7">
                  <c:v>41645</c:v>
                </c:pt>
                <c:pt idx="8">
                  <c:v>41645</c:v>
                </c:pt>
                <c:pt idx="9">
                  <c:v>41645</c:v>
                </c:pt>
                <c:pt idx="10">
                  <c:v>41645</c:v>
                </c:pt>
                <c:pt idx="11">
                  <c:v>41646</c:v>
                </c:pt>
                <c:pt idx="12">
                  <c:v>41647</c:v>
                </c:pt>
                <c:pt idx="13">
                  <c:v>41648</c:v>
                </c:pt>
                <c:pt idx="14">
                  <c:v>41284</c:v>
                </c:pt>
                <c:pt idx="15">
                  <c:v>41651</c:v>
                </c:pt>
                <c:pt idx="16">
                  <c:v>41641</c:v>
                </c:pt>
                <c:pt idx="17">
                  <c:v>41641</c:v>
                </c:pt>
                <c:pt idx="18">
                  <c:v>41645</c:v>
                </c:pt>
                <c:pt idx="19">
                  <c:v>41645</c:v>
                </c:pt>
                <c:pt idx="20">
                  <c:v>41646</c:v>
                </c:pt>
                <c:pt idx="21">
                  <c:v>41647</c:v>
                </c:pt>
                <c:pt idx="22">
                  <c:v>41283</c:v>
                </c:pt>
                <c:pt idx="23">
                  <c:v>41283</c:v>
                </c:pt>
                <c:pt idx="24">
                  <c:v>41648</c:v>
                </c:pt>
                <c:pt idx="25">
                  <c:v>41649</c:v>
                </c:pt>
                <c:pt idx="26">
                  <c:v>41285</c:v>
                </c:pt>
                <c:pt idx="27">
                  <c:v>41285</c:v>
                </c:pt>
                <c:pt idx="28">
                  <c:v>41286</c:v>
                </c:pt>
                <c:pt idx="29">
                  <c:v>41651</c:v>
                </c:pt>
                <c:pt idx="30">
                  <c:v>41651</c:v>
                </c:pt>
                <c:pt idx="31">
                  <c:v>41640</c:v>
                </c:pt>
                <c:pt idx="32">
                  <c:v>41641</c:v>
                </c:pt>
                <c:pt idx="33">
                  <c:v>41642</c:v>
                </c:pt>
                <c:pt idx="34">
                  <c:v>41645</c:v>
                </c:pt>
                <c:pt idx="35">
                  <c:v>41645</c:v>
                </c:pt>
                <c:pt idx="36">
                  <c:v>41647</c:v>
                </c:pt>
                <c:pt idx="37">
                  <c:v>41284</c:v>
                </c:pt>
                <c:pt idx="38">
                  <c:v>41641</c:v>
                </c:pt>
                <c:pt idx="39">
                  <c:v>41643</c:v>
                </c:pt>
                <c:pt idx="40">
                  <c:v>41645</c:v>
                </c:pt>
                <c:pt idx="41">
                  <c:v>41645</c:v>
                </c:pt>
                <c:pt idx="42">
                  <c:v>41283</c:v>
                </c:pt>
                <c:pt idx="43">
                  <c:v>41648</c:v>
                </c:pt>
                <c:pt idx="44">
                  <c:v>41651</c:v>
                </c:pt>
                <c:pt idx="45">
                  <c:v>41641</c:v>
                </c:pt>
                <c:pt idx="46">
                  <c:v>41643</c:v>
                </c:pt>
                <c:pt idx="47">
                  <c:v>41643</c:v>
                </c:pt>
                <c:pt idx="48">
                  <c:v>41645</c:v>
                </c:pt>
                <c:pt idx="49">
                  <c:v>41646</c:v>
                </c:pt>
                <c:pt idx="50">
                  <c:v>41647</c:v>
                </c:pt>
                <c:pt idx="51">
                  <c:v>41649</c:v>
                </c:pt>
                <c:pt idx="52">
                  <c:v>41651</c:v>
                </c:pt>
                <c:pt idx="53">
                  <c:v>41640</c:v>
                </c:pt>
                <c:pt idx="54">
                  <c:v>41641</c:v>
                </c:pt>
                <c:pt idx="55">
                  <c:v>41644</c:v>
                </c:pt>
                <c:pt idx="56">
                  <c:v>41650</c:v>
                </c:pt>
                <c:pt idx="57">
                  <c:v>41642</c:v>
                </c:pt>
                <c:pt idx="58">
                  <c:v>41641</c:v>
                </c:pt>
                <c:pt idx="59">
                  <c:v>41642</c:v>
                </c:pt>
                <c:pt idx="60">
                  <c:v>41646</c:v>
                </c:pt>
                <c:pt idx="61">
                  <c:v>41648</c:v>
                </c:pt>
                <c:pt idx="62">
                  <c:v>41283</c:v>
                </c:pt>
                <c:pt idx="63">
                  <c:v>41648</c:v>
                </c:pt>
                <c:pt idx="64">
                  <c:v>41284</c:v>
                </c:pt>
                <c:pt idx="65">
                  <c:v>41284</c:v>
                </c:pt>
                <c:pt idx="66">
                  <c:v>41649</c:v>
                </c:pt>
                <c:pt idx="67">
                  <c:v>41651</c:v>
                </c:pt>
                <c:pt idx="68">
                  <c:v>41642</c:v>
                </c:pt>
                <c:pt idx="69">
                  <c:v>41643</c:v>
                </c:pt>
                <c:pt idx="70">
                  <c:v>41646</c:v>
                </c:pt>
                <c:pt idx="71">
                  <c:v>41647</c:v>
                </c:pt>
                <c:pt idx="72">
                  <c:v>41283</c:v>
                </c:pt>
                <c:pt idx="73">
                  <c:v>41284</c:v>
                </c:pt>
                <c:pt idx="74">
                  <c:v>41641</c:v>
                </c:pt>
                <c:pt idx="75">
                  <c:v>41643</c:v>
                </c:pt>
                <c:pt idx="76">
                  <c:v>41645</c:v>
                </c:pt>
                <c:pt idx="77">
                  <c:v>41645</c:v>
                </c:pt>
                <c:pt idx="78">
                  <c:v>41646</c:v>
                </c:pt>
                <c:pt idx="79">
                  <c:v>41648</c:v>
                </c:pt>
                <c:pt idx="80">
                  <c:v>41284</c:v>
                </c:pt>
                <c:pt idx="81">
                  <c:v>41650</c:v>
                </c:pt>
                <c:pt idx="82">
                  <c:v>41651</c:v>
                </c:pt>
                <c:pt idx="83">
                  <c:v>41643</c:v>
                </c:pt>
                <c:pt idx="84">
                  <c:v>41644</c:v>
                </c:pt>
                <c:pt idx="85">
                  <c:v>41647</c:v>
                </c:pt>
                <c:pt idx="86">
                  <c:v>41284</c:v>
                </c:pt>
                <c:pt idx="87">
                  <c:v>41285</c:v>
                </c:pt>
                <c:pt idx="88">
                  <c:v>41642</c:v>
                </c:pt>
                <c:pt idx="89">
                  <c:v>41643</c:v>
                </c:pt>
                <c:pt idx="90">
                  <c:v>41645</c:v>
                </c:pt>
                <c:pt idx="91">
                  <c:v>41645</c:v>
                </c:pt>
                <c:pt idx="92">
                  <c:v>41648</c:v>
                </c:pt>
                <c:pt idx="93">
                  <c:v>41284</c:v>
                </c:pt>
                <c:pt idx="94">
                  <c:v>41649</c:v>
                </c:pt>
                <c:pt idx="95">
                  <c:v>41650</c:v>
                </c:pt>
                <c:pt idx="96">
                  <c:v>41283</c:v>
                </c:pt>
                <c:pt idx="97">
                  <c:v>41285</c:v>
                </c:pt>
                <c:pt idx="98">
                  <c:v>41643</c:v>
                </c:pt>
                <c:pt idx="99">
                  <c:v>41649</c:v>
                </c:pt>
                <c:pt idx="100">
                  <c:v>41284</c:v>
                </c:pt>
                <c:pt idx="101">
                  <c:v>41285</c:v>
                </c:pt>
                <c:pt idx="102">
                  <c:v>41651</c:v>
                </c:pt>
                <c:pt idx="103">
                  <c:v>41645</c:v>
                </c:pt>
                <c:pt idx="104">
                  <c:v>41649</c:v>
                </c:pt>
                <c:pt idx="105">
                  <c:v>41650</c:v>
                </c:pt>
                <c:pt idx="106">
                  <c:v>41285</c:v>
                </c:pt>
                <c:pt idx="107">
                  <c:v>41641</c:v>
                </c:pt>
                <c:pt idx="108">
                  <c:v>41644</c:v>
                </c:pt>
                <c:pt idx="109">
                  <c:v>41644</c:v>
                </c:pt>
                <c:pt idx="110">
                  <c:v>41645</c:v>
                </c:pt>
                <c:pt idx="111">
                  <c:v>41645</c:v>
                </c:pt>
                <c:pt idx="112">
                  <c:v>41649</c:v>
                </c:pt>
                <c:pt idx="113">
                  <c:v>41284</c:v>
                </c:pt>
                <c:pt idx="114">
                  <c:v>41284</c:v>
                </c:pt>
                <c:pt idx="115">
                  <c:v>41285</c:v>
                </c:pt>
                <c:pt idx="116">
                  <c:v>41651</c:v>
                </c:pt>
                <c:pt idx="117">
                  <c:v>41651</c:v>
                </c:pt>
                <c:pt idx="118">
                  <c:v>41651</c:v>
                </c:pt>
                <c:pt idx="119">
                  <c:v>41286</c:v>
                </c:pt>
                <c:pt idx="120">
                  <c:v>41286</c:v>
                </c:pt>
                <c:pt idx="121">
                  <c:v>41651</c:v>
                </c:pt>
                <c:pt idx="122">
                  <c:v>41651</c:v>
                </c:pt>
                <c:pt idx="123">
                  <c:v>41649</c:v>
                </c:pt>
                <c:pt idx="124">
                  <c:v>41284</c:v>
                </c:pt>
                <c:pt idx="125">
                  <c:v>41649</c:v>
                </c:pt>
                <c:pt idx="126">
                  <c:v>41284</c:v>
                </c:pt>
                <c:pt idx="127">
                  <c:v>41284</c:v>
                </c:pt>
                <c:pt idx="128">
                  <c:v>41651</c:v>
                </c:pt>
                <c:pt idx="129">
                  <c:v>41286</c:v>
                </c:pt>
                <c:pt idx="130">
                  <c:v>41651</c:v>
                </c:pt>
                <c:pt idx="131">
                  <c:v>41645</c:v>
                </c:pt>
                <c:pt idx="132">
                  <c:v>41284</c:v>
                </c:pt>
                <c:pt idx="133">
                  <c:v>41649</c:v>
                </c:pt>
                <c:pt idx="134">
                  <c:v>41651</c:v>
                </c:pt>
                <c:pt idx="135">
                  <c:v>41286</c:v>
                </c:pt>
                <c:pt idx="136">
                  <c:v>41286</c:v>
                </c:pt>
                <c:pt idx="137">
                  <c:v>41642</c:v>
                </c:pt>
                <c:pt idx="138">
                  <c:v>41642</c:v>
                </c:pt>
                <c:pt idx="139">
                  <c:v>41644</c:v>
                </c:pt>
                <c:pt idx="140">
                  <c:v>41284</c:v>
                </c:pt>
                <c:pt idx="141">
                  <c:v>41650</c:v>
                </c:pt>
                <c:pt idx="142">
                  <c:v>41650</c:v>
                </c:pt>
                <c:pt idx="143">
                  <c:v>41651</c:v>
                </c:pt>
                <c:pt idx="144">
                  <c:v>41643</c:v>
                </c:pt>
                <c:pt idx="145">
                  <c:v>41643</c:v>
                </c:pt>
                <c:pt idx="146">
                  <c:v>41645</c:v>
                </c:pt>
                <c:pt idx="147">
                  <c:v>41648</c:v>
                </c:pt>
                <c:pt idx="148">
                  <c:v>41286</c:v>
                </c:pt>
                <c:pt idx="149">
                  <c:v>41641</c:v>
                </c:pt>
                <c:pt idx="150">
                  <c:v>41645</c:v>
                </c:pt>
                <c:pt idx="151">
                  <c:v>41648</c:v>
                </c:pt>
                <c:pt idx="152">
                  <c:v>41283</c:v>
                </c:pt>
                <c:pt idx="153">
                  <c:v>41651</c:v>
                </c:pt>
                <c:pt idx="154">
                  <c:v>41651</c:v>
                </c:pt>
                <c:pt idx="155">
                  <c:v>41640</c:v>
                </c:pt>
                <c:pt idx="156">
                  <c:v>41642</c:v>
                </c:pt>
                <c:pt idx="157">
                  <c:v>41645</c:v>
                </c:pt>
                <c:pt idx="158">
                  <c:v>41645</c:v>
                </c:pt>
                <c:pt idx="159">
                  <c:v>41645</c:v>
                </c:pt>
                <c:pt idx="160">
                  <c:v>41646</c:v>
                </c:pt>
                <c:pt idx="161">
                  <c:v>41649</c:v>
                </c:pt>
                <c:pt idx="162">
                  <c:v>41284</c:v>
                </c:pt>
                <c:pt idx="163">
                  <c:v>41651</c:v>
                </c:pt>
                <c:pt idx="164">
                  <c:v>41651</c:v>
                </c:pt>
                <c:pt idx="165">
                  <c:v>41649</c:v>
                </c:pt>
                <c:pt idx="166">
                  <c:v>41641</c:v>
                </c:pt>
                <c:pt idx="167">
                  <c:v>41643</c:v>
                </c:pt>
                <c:pt idx="168">
                  <c:v>41645</c:v>
                </c:pt>
                <c:pt idx="169">
                  <c:v>41647</c:v>
                </c:pt>
                <c:pt idx="170">
                  <c:v>41647</c:v>
                </c:pt>
                <c:pt idx="171">
                  <c:v>41284</c:v>
                </c:pt>
                <c:pt idx="172">
                  <c:v>41644</c:v>
                </c:pt>
                <c:pt idx="173">
                  <c:v>41283</c:v>
                </c:pt>
                <c:pt idx="174">
                  <c:v>41643</c:v>
                </c:pt>
                <c:pt idx="175">
                  <c:v>41640</c:v>
                </c:pt>
                <c:pt idx="176">
                  <c:v>41649</c:v>
                </c:pt>
                <c:pt idx="177">
                  <c:v>41649</c:v>
                </c:pt>
                <c:pt idx="178">
                  <c:v>41286</c:v>
                </c:pt>
                <c:pt idx="179">
                  <c:v>41283</c:v>
                </c:pt>
                <c:pt idx="180">
                  <c:v>41284</c:v>
                </c:pt>
                <c:pt idx="181">
                  <c:v>41649</c:v>
                </c:pt>
                <c:pt idx="182">
                  <c:v>41651</c:v>
                </c:pt>
                <c:pt idx="183">
                  <c:v>41642</c:v>
                </c:pt>
                <c:pt idx="184">
                  <c:v>41647</c:v>
                </c:pt>
                <c:pt idx="185">
                  <c:v>41284</c:v>
                </c:pt>
                <c:pt idx="186">
                  <c:v>41649</c:v>
                </c:pt>
                <c:pt idx="187">
                  <c:v>41651</c:v>
                </c:pt>
                <c:pt idx="188">
                  <c:v>41640</c:v>
                </c:pt>
                <c:pt idx="189">
                  <c:v>41642</c:v>
                </c:pt>
                <c:pt idx="190">
                  <c:v>41643</c:v>
                </c:pt>
                <c:pt idx="191">
                  <c:v>41644</c:v>
                </c:pt>
                <c:pt idx="192">
                  <c:v>41646</c:v>
                </c:pt>
                <c:pt idx="193">
                  <c:v>41646</c:v>
                </c:pt>
                <c:pt idx="194">
                  <c:v>41648</c:v>
                </c:pt>
                <c:pt idx="195">
                  <c:v>41648</c:v>
                </c:pt>
                <c:pt idx="196">
                  <c:v>41648</c:v>
                </c:pt>
                <c:pt idx="197">
                  <c:v>41284</c:v>
                </c:pt>
                <c:pt idx="198">
                  <c:v>41284</c:v>
                </c:pt>
                <c:pt idx="199">
                  <c:v>41651</c:v>
                </c:pt>
                <c:pt idx="200">
                  <c:v>41651</c:v>
                </c:pt>
                <c:pt idx="201">
                  <c:v>41642</c:v>
                </c:pt>
                <c:pt idx="202">
                  <c:v>41283</c:v>
                </c:pt>
                <c:pt idx="203">
                  <c:v>41649</c:v>
                </c:pt>
                <c:pt idx="204">
                  <c:v>41644</c:v>
                </c:pt>
                <c:pt idx="205">
                  <c:v>41283</c:v>
                </c:pt>
                <c:pt idx="206">
                  <c:v>41649</c:v>
                </c:pt>
                <c:pt idx="207">
                  <c:v>41284</c:v>
                </c:pt>
                <c:pt idx="208">
                  <c:v>41641</c:v>
                </c:pt>
                <c:pt idx="209">
                  <c:v>41643</c:v>
                </c:pt>
                <c:pt idx="210">
                  <c:v>41648</c:v>
                </c:pt>
                <c:pt idx="211">
                  <c:v>41284</c:v>
                </c:pt>
                <c:pt idx="212">
                  <c:v>41286</c:v>
                </c:pt>
                <c:pt idx="213">
                  <c:v>41284</c:v>
                </c:pt>
                <c:pt idx="214">
                  <c:v>41640</c:v>
                </c:pt>
                <c:pt idx="215">
                  <c:v>41283</c:v>
                </c:pt>
                <c:pt idx="216">
                  <c:v>41649</c:v>
                </c:pt>
                <c:pt idx="217">
                  <c:v>41651</c:v>
                </c:pt>
                <c:pt idx="218">
                  <c:v>41651</c:v>
                </c:pt>
                <c:pt idx="219">
                  <c:v>41649</c:v>
                </c:pt>
                <c:pt idx="220">
                  <c:v>41646</c:v>
                </c:pt>
                <c:pt idx="221">
                  <c:v>41647</c:v>
                </c:pt>
                <c:pt idx="222">
                  <c:v>41284</c:v>
                </c:pt>
                <c:pt idx="223">
                  <c:v>41641</c:v>
                </c:pt>
                <c:pt idx="224">
                  <c:v>41641</c:v>
                </c:pt>
                <c:pt idx="225">
                  <c:v>41644</c:v>
                </c:pt>
                <c:pt idx="226">
                  <c:v>41645</c:v>
                </c:pt>
                <c:pt idx="227">
                  <c:v>41285</c:v>
                </c:pt>
                <c:pt idx="228">
                  <c:v>41650</c:v>
                </c:pt>
                <c:pt idx="229">
                  <c:v>41651</c:v>
                </c:pt>
                <c:pt idx="230">
                  <c:v>41651</c:v>
                </c:pt>
                <c:pt idx="231">
                  <c:v>41640</c:v>
                </c:pt>
                <c:pt idx="232">
                  <c:v>41646</c:v>
                </c:pt>
                <c:pt idx="233">
                  <c:v>41283</c:v>
                </c:pt>
                <c:pt idx="234">
                  <c:v>41650</c:v>
                </c:pt>
                <c:pt idx="235">
                  <c:v>41286</c:v>
                </c:pt>
                <c:pt idx="236">
                  <c:v>41641</c:v>
                </c:pt>
                <c:pt idx="237">
                  <c:v>41642</c:v>
                </c:pt>
                <c:pt idx="238">
                  <c:v>41642</c:v>
                </c:pt>
                <c:pt idx="239">
                  <c:v>41643</c:v>
                </c:pt>
                <c:pt idx="240">
                  <c:v>41644</c:v>
                </c:pt>
                <c:pt idx="241">
                  <c:v>41645</c:v>
                </c:pt>
                <c:pt idx="242">
                  <c:v>41645</c:v>
                </c:pt>
                <c:pt idx="243">
                  <c:v>41648</c:v>
                </c:pt>
                <c:pt idx="244">
                  <c:v>41284</c:v>
                </c:pt>
                <c:pt idx="245">
                  <c:v>41284</c:v>
                </c:pt>
                <c:pt idx="246">
                  <c:v>41649</c:v>
                </c:pt>
                <c:pt idx="247">
                  <c:v>41284</c:v>
                </c:pt>
                <c:pt idx="248">
                  <c:v>41286</c:v>
                </c:pt>
                <c:pt idx="249">
                  <c:v>41651</c:v>
                </c:pt>
                <c:pt idx="250">
                  <c:v>41286</c:v>
                </c:pt>
                <c:pt idx="251">
                  <c:v>41286</c:v>
                </c:pt>
                <c:pt idx="252">
                  <c:v>41640</c:v>
                </c:pt>
                <c:pt idx="253">
                  <c:v>41640</c:v>
                </c:pt>
                <c:pt idx="254">
                  <c:v>41641</c:v>
                </c:pt>
                <c:pt idx="255">
                  <c:v>41645</c:v>
                </c:pt>
                <c:pt idx="256">
                  <c:v>41647</c:v>
                </c:pt>
                <c:pt idx="257">
                  <c:v>41647</c:v>
                </c:pt>
                <c:pt idx="258">
                  <c:v>41649</c:v>
                </c:pt>
                <c:pt idx="259">
                  <c:v>41284</c:v>
                </c:pt>
                <c:pt idx="260">
                  <c:v>41286</c:v>
                </c:pt>
                <c:pt idx="261">
                  <c:v>41651</c:v>
                </c:pt>
                <c:pt idx="262">
                  <c:v>41284</c:v>
                </c:pt>
                <c:pt idx="263">
                  <c:v>41285</c:v>
                </c:pt>
                <c:pt idx="264">
                  <c:v>41285</c:v>
                </c:pt>
                <c:pt idx="265">
                  <c:v>41651</c:v>
                </c:pt>
                <c:pt idx="266">
                  <c:v>41651</c:v>
                </c:pt>
                <c:pt idx="267">
                  <c:v>41651</c:v>
                </c:pt>
                <c:pt idx="268">
                  <c:v>41641</c:v>
                </c:pt>
                <c:pt idx="269">
                  <c:v>41647</c:v>
                </c:pt>
                <c:pt idx="270">
                  <c:v>41284</c:v>
                </c:pt>
                <c:pt idx="271">
                  <c:v>41651</c:v>
                </c:pt>
                <c:pt idx="272">
                  <c:v>41643</c:v>
                </c:pt>
                <c:pt idx="273">
                  <c:v>41640</c:v>
                </c:pt>
                <c:pt idx="274">
                  <c:v>41645</c:v>
                </c:pt>
                <c:pt idx="275">
                  <c:v>41648</c:v>
                </c:pt>
                <c:pt idx="276">
                  <c:v>41284</c:v>
                </c:pt>
                <c:pt idx="277">
                  <c:v>41650</c:v>
                </c:pt>
                <c:pt idx="278">
                  <c:v>41285</c:v>
                </c:pt>
                <c:pt idx="279">
                  <c:v>41286</c:v>
                </c:pt>
                <c:pt idx="280">
                  <c:v>41643</c:v>
                </c:pt>
                <c:pt idx="281">
                  <c:v>41644</c:v>
                </c:pt>
                <c:pt idx="282">
                  <c:v>41284</c:v>
                </c:pt>
                <c:pt idx="283">
                  <c:v>41650</c:v>
                </c:pt>
                <c:pt idx="284">
                  <c:v>41645</c:v>
                </c:pt>
                <c:pt idx="285">
                  <c:v>41284</c:v>
                </c:pt>
                <c:pt idx="286">
                  <c:v>41284</c:v>
                </c:pt>
                <c:pt idx="287">
                  <c:v>41641</c:v>
                </c:pt>
                <c:pt idx="288">
                  <c:v>41641</c:v>
                </c:pt>
                <c:pt idx="289">
                  <c:v>41644</c:v>
                </c:pt>
                <c:pt idx="290">
                  <c:v>41645</c:v>
                </c:pt>
                <c:pt idx="291">
                  <c:v>41645</c:v>
                </c:pt>
                <c:pt idx="292">
                  <c:v>41284</c:v>
                </c:pt>
                <c:pt idx="293">
                  <c:v>41284</c:v>
                </c:pt>
                <c:pt idx="294">
                  <c:v>41645</c:v>
                </c:pt>
                <c:pt idx="295">
                  <c:v>41645</c:v>
                </c:pt>
                <c:pt idx="296">
                  <c:v>41284</c:v>
                </c:pt>
                <c:pt idx="297">
                  <c:v>41285</c:v>
                </c:pt>
                <c:pt idx="298">
                  <c:v>41286</c:v>
                </c:pt>
                <c:pt idx="299">
                  <c:v>41640</c:v>
                </c:pt>
                <c:pt idx="300">
                  <c:v>41648</c:v>
                </c:pt>
                <c:pt idx="301">
                  <c:v>41284</c:v>
                </c:pt>
                <c:pt idx="302">
                  <c:v>41284</c:v>
                </c:pt>
                <c:pt idx="303">
                  <c:v>41284</c:v>
                </c:pt>
                <c:pt idx="304">
                  <c:v>41284</c:v>
                </c:pt>
                <c:pt idx="305">
                  <c:v>41647</c:v>
                </c:pt>
                <c:pt idx="306">
                  <c:v>41647</c:v>
                </c:pt>
                <c:pt idx="307">
                  <c:v>41649</c:v>
                </c:pt>
                <c:pt idx="308">
                  <c:v>41284</c:v>
                </c:pt>
                <c:pt idx="309">
                  <c:v>41647</c:v>
                </c:pt>
                <c:pt idx="310">
                  <c:v>41650</c:v>
                </c:pt>
                <c:pt idx="311">
                  <c:v>41649</c:v>
                </c:pt>
                <c:pt idx="312">
                  <c:v>41641</c:v>
                </c:pt>
                <c:pt idx="313">
                  <c:v>41647</c:v>
                </c:pt>
                <c:pt idx="314">
                  <c:v>41283</c:v>
                </c:pt>
                <c:pt idx="315">
                  <c:v>41640</c:v>
                </c:pt>
                <c:pt idx="316">
                  <c:v>41650</c:v>
                </c:pt>
                <c:pt idx="317">
                  <c:v>41283</c:v>
                </c:pt>
                <c:pt idx="318">
                  <c:v>41644</c:v>
                </c:pt>
                <c:pt idx="319">
                  <c:v>41645</c:v>
                </c:pt>
                <c:pt idx="320">
                  <c:v>41650</c:v>
                </c:pt>
                <c:pt idx="321">
                  <c:v>41651</c:v>
                </c:pt>
                <c:pt idx="322">
                  <c:v>41643</c:v>
                </c:pt>
                <c:pt idx="323">
                  <c:v>41283</c:v>
                </c:pt>
                <c:pt idx="324">
                  <c:v>41651</c:v>
                </c:pt>
                <c:pt idx="325">
                  <c:v>41645</c:v>
                </c:pt>
                <c:pt idx="326">
                  <c:v>41642</c:v>
                </c:pt>
                <c:pt idx="327">
                  <c:v>41645</c:v>
                </c:pt>
                <c:pt idx="328">
                  <c:v>41649</c:v>
                </c:pt>
                <c:pt idx="329">
                  <c:v>41649</c:v>
                </c:pt>
                <c:pt idx="330">
                  <c:v>41649</c:v>
                </c:pt>
                <c:pt idx="331">
                  <c:v>41285</c:v>
                </c:pt>
                <c:pt idx="332">
                  <c:v>41644</c:v>
                </c:pt>
                <c:pt idx="333">
                  <c:v>41645</c:v>
                </c:pt>
                <c:pt idx="334">
                  <c:v>41646</c:v>
                </c:pt>
                <c:pt idx="335">
                  <c:v>41647</c:v>
                </c:pt>
                <c:pt idx="336">
                  <c:v>41283</c:v>
                </c:pt>
                <c:pt idx="337">
                  <c:v>41648</c:v>
                </c:pt>
                <c:pt idx="338">
                  <c:v>41283</c:v>
                </c:pt>
                <c:pt idx="339">
                  <c:v>41285</c:v>
                </c:pt>
                <c:pt idx="340">
                  <c:v>41285</c:v>
                </c:pt>
                <c:pt idx="341">
                  <c:v>41286</c:v>
                </c:pt>
                <c:pt idx="342">
                  <c:v>41646</c:v>
                </c:pt>
                <c:pt idx="343">
                  <c:v>41647</c:v>
                </c:pt>
                <c:pt idx="344">
                  <c:v>41648</c:v>
                </c:pt>
                <c:pt idx="345">
                  <c:v>41649</c:v>
                </c:pt>
                <c:pt idx="346">
                  <c:v>41286</c:v>
                </c:pt>
                <c:pt idx="347">
                  <c:v>41651</c:v>
                </c:pt>
                <c:pt idx="348">
                  <c:v>41286</c:v>
                </c:pt>
                <c:pt idx="349">
                  <c:v>41640</c:v>
                </c:pt>
                <c:pt idx="350">
                  <c:v>41641</c:v>
                </c:pt>
                <c:pt idx="351">
                  <c:v>41641</c:v>
                </c:pt>
                <c:pt idx="352">
                  <c:v>41644</c:v>
                </c:pt>
                <c:pt idx="353">
                  <c:v>41648</c:v>
                </c:pt>
                <c:pt idx="354">
                  <c:v>41283</c:v>
                </c:pt>
                <c:pt idx="355">
                  <c:v>41650</c:v>
                </c:pt>
                <c:pt idx="356">
                  <c:v>41651</c:v>
                </c:pt>
                <c:pt idx="357">
                  <c:v>41641</c:v>
                </c:pt>
                <c:pt idx="358">
                  <c:v>41645</c:v>
                </c:pt>
                <c:pt idx="359">
                  <c:v>41644</c:v>
                </c:pt>
                <c:pt idx="360">
                  <c:v>41645</c:v>
                </c:pt>
                <c:pt idx="361">
                  <c:v>41647</c:v>
                </c:pt>
                <c:pt idx="362">
                  <c:v>41650</c:v>
                </c:pt>
                <c:pt idx="363">
                  <c:v>41651</c:v>
                </c:pt>
                <c:pt idx="364">
                  <c:v>41642</c:v>
                </c:pt>
                <c:pt idx="365">
                  <c:v>41645</c:v>
                </c:pt>
                <c:pt idx="366">
                  <c:v>41646</c:v>
                </c:pt>
                <c:pt idx="367">
                  <c:v>41647</c:v>
                </c:pt>
                <c:pt idx="368">
                  <c:v>41283</c:v>
                </c:pt>
                <c:pt idx="369">
                  <c:v>41651</c:v>
                </c:pt>
                <c:pt idx="370">
                  <c:v>41642</c:v>
                </c:pt>
                <c:pt idx="371">
                  <c:v>41643</c:v>
                </c:pt>
                <c:pt idx="372">
                  <c:v>41644</c:v>
                </c:pt>
                <c:pt idx="373">
                  <c:v>41645</c:v>
                </c:pt>
                <c:pt idx="374">
                  <c:v>41645</c:v>
                </c:pt>
                <c:pt idx="375">
                  <c:v>41647</c:v>
                </c:pt>
                <c:pt idx="376">
                  <c:v>41647</c:v>
                </c:pt>
                <c:pt idx="377">
                  <c:v>41283</c:v>
                </c:pt>
                <c:pt idx="378">
                  <c:v>41648</c:v>
                </c:pt>
                <c:pt idx="379">
                  <c:v>41648</c:v>
                </c:pt>
                <c:pt idx="380">
                  <c:v>41285</c:v>
                </c:pt>
                <c:pt idx="381">
                  <c:v>41286</c:v>
                </c:pt>
                <c:pt idx="382">
                  <c:v>41651</c:v>
                </c:pt>
                <c:pt idx="383">
                  <c:v>41642</c:v>
                </c:pt>
                <c:pt idx="384">
                  <c:v>41645</c:v>
                </c:pt>
                <c:pt idx="385">
                  <c:v>41645</c:v>
                </c:pt>
                <c:pt idx="386">
                  <c:v>41285</c:v>
                </c:pt>
                <c:pt idx="387">
                  <c:v>41651</c:v>
                </c:pt>
                <c:pt idx="388">
                  <c:v>41643</c:v>
                </c:pt>
                <c:pt idx="389">
                  <c:v>41645</c:v>
                </c:pt>
                <c:pt idx="390">
                  <c:v>41647</c:v>
                </c:pt>
                <c:pt idx="391">
                  <c:v>41647</c:v>
                </c:pt>
                <c:pt idx="392">
                  <c:v>41648</c:v>
                </c:pt>
                <c:pt idx="393">
                  <c:v>41286</c:v>
                </c:pt>
                <c:pt idx="394">
                  <c:v>41645</c:v>
                </c:pt>
                <c:pt idx="395">
                  <c:v>41645</c:v>
                </c:pt>
                <c:pt idx="396">
                  <c:v>41645</c:v>
                </c:pt>
                <c:pt idx="397">
                  <c:v>41645</c:v>
                </c:pt>
                <c:pt idx="398">
                  <c:v>41650</c:v>
                </c:pt>
                <c:pt idx="399">
                  <c:v>41651</c:v>
                </c:pt>
                <c:pt idx="400">
                  <c:v>41286</c:v>
                </c:pt>
                <c:pt idx="401">
                  <c:v>41651</c:v>
                </c:pt>
                <c:pt idx="402">
                  <c:v>41646</c:v>
                </c:pt>
                <c:pt idx="403">
                  <c:v>41645</c:v>
                </c:pt>
                <c:pt idx="404">
                  <c:v>41284</c:v>
                </c:pt>
                <c:pt idx="405">
                  <c:v>41643</c:v>
                </c:pt>
                <c:pt idx="406">
                  <c:v>41644</c:v>
                </c:pt>
                <c:pt idx="407">
                  <c:v>41283</c:v>
                </c:pt>
                <c:pt idx="408">
                  <c:v>41650</c:v>
                </c:pt>
                <c:pt idx="409">
                  <c:v>41285</c:v>
                </c:pt>
                <c:pt idx="410">
                  <c:v>41286</c:v>
                </c:pt>
                <c:pt idx="411">
                  <c:v>41651</c:v>
                </c:pt>
                <c:pt idx="412">
                  <c:v>41286</c:v>
                </c:pt>
                <c:pt idx="413">
                  <c:v>41640</c:v>
                </c:pt>
                <c:pt idx="414">
                  <c:v>41640</c:v>
                </c:pt>
                <c:pt idx="415">
                  <c:v>41643</c:v>
                </c:pt>
                <c:pt idx="416">
                  <c:v>41645</c:v>
                </c:pt>
                <c:pt idx="417">
                  <c:v>41649</c:v>
                </c:pt>
                <c:pt idx="418">
                  <c:v>41284</c:v>
                </c:pt>
                <c:pt idx="419">
                  <c:v>41650</c:v>
                </c:pt>
                <c:pt idx="420">
                  <c:v>41285</c:v>
                </c:pt>
                <c:pt idx="421">
                  <c:v>41651</c:v>
                </c:pt>
                <c:pt idx="422">
                  <c:v>41644</c:v>
                </c:pt>
                <c:pt idx="423">
                  <c:v>41646</c:v>
                </c:pt>
                <c:pt idx="424">
                  <c:v>41646</c:v>
                </c:pt>
                <c:pt idx="425">
                  <c:v>41648</c:v>
                </c:pt>
                <c:pt idx="426">
                  <c:v>41648</c:v>
                </c:pt>
                <c:pt idx="427">
                  <c:v>41649</c:v>
                </c:pt>
                <c:pt idx="428">
                  <c:v>41640</c:v>
                </c:pt>
                <c:pt idx="429">
                  <c:v>41641</c:v>
                </c:pt>
                <c:pt idx="430">
                  <c:v>41643</c:v>
                </c:pt>
                <c:pt idx="431">
                  <c:v>41644</c:v>
                </c:pt>
                <c:pt idx="432">
                  <c:v>41648</c:v>
                </c:pt>
                <c:pt idx="433">
                  <c:v>41283</c:v>
                </c:pt>
                <c:pt idx="434">
                  <c:v>41649</c:v>
                </c:pt>
                <c:pt idx="435">
                  <c:v>41650</c:v>
                </c:pt>
                <c:pt idx="436">
                  <c:v>41648</c:v>
                </c:pt>
                <c:pt idx="437">
                  <c:v>41649</c:v>
                </c:pt>
                <c:pt idx="438">
                  <c:v>41285</c:v>
                </c:pt>
                <c:pt idx="439">
                  <c:v>41650</c:v>
                </c:pt>
                <c:pt idx="440">
                  <c:v>41644</c:v>
                </c:pt>
                <c:pt idx="441">
                  <c:v>41646</c:v>
                </c:pt>
                <c:pt idx="442">
                  <c:v>41648</c:v>
                </c:pt>
                <c:pt idx="443">
                  <c:v>41651</c:v>
                </c:pt>
                <c:pt idx="444">
                  <c:v>41642</c:v>
                </c:pt>
                <c:pt idx="445">
                  <c:v>41645</c:v>
                </c:pt>
                <c:pt idx="446">
                  <c:v>41649</c:v>
                </c:pt>
                <c:pt idx="447">
                  <c:v>41642</c:v>
                </c:pt>
                <c:pt idx="448">
                  <c:v>41643</c:v>
                </c:pt>
                <c:pt idx="449">
                  <c:v>41649</c:v>
                </c:pt>
                <c:pt idx="450">
                  <c:v>41285</c:v>
                </c:pt>
                <c:pt idx="451">
                  <c:v>41651</c:v>
                </c:pt>
                <c:pt idx="452">
                  <c:v>41645</c:v>
                </c:pt>
                <c:pt idx="453">
                  <c:v>41646</c:v>
                </c:pt>
                <c:pt idx="454">
                  <c:v>41286</c:v>
                </c:pt>
                <c:pt idx="455">
                  <c:v>41284</c:v>
                </c:pt>
                <c:pt idx="456">
                  <c:v>41648</c:v>
                </c:pt>
                <c:pt idx="457">
                  <c:v>41284</c:v>
                </c:pt>
                <c:pt idx="458">
                  <c:v>41643</c:v>
                </c:pt>
                <c:pt idx="459">
                  <c:v>41286</c:v>
                </c:pt>
                <c:pt idx="460">
                  <c:v>41644</c:v>
                </c:pt>
                <c:pt idx="461">
                  <c:v>41285</c:v>
                </c:pt>
                <c:pt idx="462">
                  <c:v>41651</c:v>
                </c:pt>
                <c:pt idx="463">
                  <c:v>41642</c:v>
                </c:pt>
                <c:pt idx="464">
                  <c:v>41644</c:v>
                </c:pt>
                <c:pt idx="465">
                  <c:v>41284</c:v>
                </c:pt>
                <c:pt idx="466">
                  <c:v>41649</c:v>
                </c:pt>
                <c:pt idx="467">
                  <c:v>41640</c:v>
                </c:pt>
                <c:pt idx="468">
                  <c:v>41643</c:v>
                </c:pt>
                <c:pt idx="469">
                  <c:v>41644</c:v>
                </c:pt>
                <c:pt idx="470">
                  <c:v>41646</c:v>
                </c:pt>
                <c:pt idx="471">
                  <c:v>41648</c:v>
                </c:pt>
                <c:pt idx="472">
                  <c:v>41284</c:v>
                </c:pt>
                <c:pt idx="473">
                  <c:v>41649</c:v>
                </c:pt>
                <c:pt idx="474">
                  <c:v>41650</c:v>
                </c:pt>
                <c:pt idx="475">
                  <c:v>41286</c:v>
                </c:pt>
                <c:pt idx="476">
                  <c:v>41651</c:v>
                </c:pt>
                <c:pt idx="477">
                  <c:v>41644</c:v>
                </c:pt>
                <c:pt idx="478">
                  <c:v>41646</c:v>
                </c:pt>
                <c:pt idx="479">
                  <c:v>41647</c:v>
                </c:pt>
                <c:pt idx="480">
                  <c:v>41648</c:v>
                </c:pt>
                <c:pt idx="481">
                  <c:v>41284</c:v>
                </c:pt>
                <c:pt idx="482">
                  <c:v>41284</c:v>
                </c:pt>
                <c:pt idx="483">
                  <c:v>41650</c:v>
                </c:pt>
                <c:pt idx="484">
                  <c:v>41286</c:v>
                </c:pt>
                <c:pt idx="485">
                  <c:v>41640</c:v>
                </c:pt>
                <c:pt idx="486">
                  <c:v>41641</c:v>
                </c:pt>
                <c:pt idx="487">
                  <c:v>41642</c:v>
                </c:pt>
                <c:pt idx="488">
                  <c:v>41643</c:v>
                </c:pt>
                <c:pt idx="489">
                  <c:v>41644</c:v>
                </c:pt>
                <c:pt idx="490">
                  <c:v>41647</c:v>
                </c:pt>
                <c:pt idx="491">
                  <c:v>41648</c:v>
                </c:pt>
                <c:pt idx="492">
                  <c:v>41651</c:v>
                </c:pt>
                <c:pt idx="493">
                  <c:v>41651</c:v>
                </c:pt>
                <c:pt idx="494">
                  <c:v>41284</c:v>
                </c:pt>
                <c:pt idx="495">
                  <c:v>41643</c:v>
                </c:pt>
                <c:pt idx="496">
                  <c:v>41284</c:v>
                </c:pt>
                <c:pt idx="497">
                  <c:v>41640</c:v>
                </c:pt>
                <c:pt idx="498">
                  <c:v>41649</c:v>
                </c:pt>
                <c:pt idx="499">
                  <c:v>41642</c:v>
                </c:pt>
                <c:pt idx="500">
                  <c:v>41283</c:v>
                </c:pt>
                <c:pt idx="501">
                  <c:v>41646</c:v>
                </c:pt>
                <c:pt idx="502">
                  <c:v>41649</c:v>
                </c:pt>
                <c:pt idx="503">
                  <c:v>41641</c:v>
                </c:pt>
                <c:pt idx="504">
                  <c:v>41642</c:v>
                </c:pt>
                <c:pt idx="505">
                  <c:v>41646</c:v>
                </c:pt>
                <c:pt idx="506">
                  <c:v>41649</c:v>
                </c:pt>
                <c:pt idx="507">
                  <c:v>41285</c:v>
                </c:pt>
                <c:pt idx="508">
                  <c:v>41285</c:v>
                </c:pt>
                <c:pt idx="509">
                  <c:v>41640</c:v>
                </c:pt>
                <c:pt idx="510">
                  <c:v>41284</c:v>
                </c:pt>
                <c:pt idx="511">
                  <c:v>41651</c:v>
                </c:pt>
                <c:pt idx="512">
                  <c:v>41640</c:v>
                </c:pt>
                <c:pt idx="513">
                  <c:v>41642</c:v>
                </c:pt>
                <c:pt idx="514">
                  <c:v>41646</c:v>
                </c:pt>
                <c:pt idx="515">
                  <c:v>41646</c:v>
                </c:pt>
                <c:pt idx="516">
                  <c:v>41646</c:v>
                </c:pt>
                <c:pt idx="517">
                  <c:v>41647</c:v>
                </c:pt>
                <c:pt idx="518">
                  <c:v>41647</c:v>
                </c:pt>
                <c:pt idx="519">
                  <c:v>41649</c:v>
                </c:pt>
                <c:pt idx="520">
                  <c:v>41284</c:v>
                </c:pt>
                <c:pt idx="521">
                  <c:v>41650</c:v>
                </c:pt>
                <c:pt idx="522">
                  <c:v>41283</c:v>
                </c:pt>
                <c:pt idx="523">
                  <c:v>41283</c:v>
                </c:pt>
                <c:pt idx="524">
                  <c:v>41284</c:v>
                </c:pt>
                <c:pt idx="525">
                  <c:v>41650</c:v>
                </c:pt>
                <c:pt idx="526">
                  <c:v>41640</c:v>
                </c:pt>
                <c:pt idx="527">
                  <c:v>41640</c:v>
                </c:pt>
                <c:pt idx="528">
                  <c:v>41285</c:v>
                </c:pt>
                <c:pt idx="529">
                  <c:v>41640</c:v>
                </c:pt>
                <c:pt idx="530">
                  <c:v>41640</c:v>
                </c:pt>
                <c:pt idx="531">
                  <c:v>41644</c:v>
                </c:pt>
                <c:pt idx="532">
                  <c:v>41283</c:v>
                </c:pt>
                <c:pt idx="533">
                  <c:v>41284</c:v>
                </c:pt>
                <c:pt idx="534">
                  <c:v>41651</c:v>
                </c:pt>
                <c:pt idx="535">
                  <c:v>41283</c:v>
                </c:pt>
                <c:pt idx="536">
                  <c:v>41645</c:v>
                </c:pt>
                <c:pt idx="537">
                  <c:v>41283</c:v>
                </c:pt>
                <c:pt idx="538">
                  <c:v>41649</c:v>
                </c:pt>
                <c:pt idx="539">
                  <c:v>41650</c:v>
                </c:pt>
                <c:pt idx="540">
                  <c:v>41642</c:v>
                </c:pt>
                <c:pt idx="541">
                  <c:v>41643</c:v>
                </c:pt>
                <c:pt idx="542">
                  <c:v>41648</c:v>
                </c:pt>
                <c:pt idx="543">
                  <c:v>41649</c:v>
                </c:pt>
                <c:pt idx="544">
                  <c:v>41284</c:v>
                </c:pt>
                <c:pt idx="545">
                  <c:v>41286</c:v>
                </c:pt>
                <c:pt idx="546">
                  <c:v>41640</c:v>
                </c:pt>
                <c:pt idx="547">
                  <c:v>41645</c:v>
                </c:pt>
                <c:pt idx="548">
                  <c:v>41649</c:v>
                </c:pt>
                <c:pt idx="549">
                  <c:v>41649</c:v>
                </c:pt>
                <c:pt idx="550">
                  <c:v>41284</c:v>
                </c:pt>
                <c:pt idx="551">
                  <c:v>41650</c:v>
                </c:pt>
                <c:pt idx="552">
                  <c:v>41650</c:v>
                </c:pt>
                <c:pt idx="553">
                  <c:v>41650</c:v>
                </c:pt>
                <c:pt idx="554">
                  <c:v>41650</c:v>
                </c:pt>
                <c:pt idx="555">
                  <c:v>41286</c:v>
                </c:pt>
                <c:pt idx="556">
                  <c:v>41651</c:v>
                </c:pt>
                <c:pt idx="557">
                  <c:v>41646</c:v>
                </c:pt>
                <c:pt idx="558">
                  <c:v>41649</c:v>
                </c:pt>
                <c:pt idx="559">
                  <c:v>41649</c:v>
                </c:pt>
                <c:pt idx="560">
                  <c:v>41644</c:v>
                </c:pt>
                <c:pt idx="561">
                  <c:v>41646</c:v>
                </c:pt>
                <c:pt idx="562">
                  <c:v>41283</c:v>
                </c:pt>
                <c:pt idx="563">
                  <c:v>41649</c:v>
                </c:pt>
                <c:pt idx="564">
                  <c:v>41650</c:v>
                </c:pt>
                <c:pt idx="565">
                  <c:v>41651</c:v>
                </c:pt>
                <c:pt idx="566">
                  <c:v>41641</c:v>
                </c:pt>
                <c:pt idx="567">
                  <c:v>41646</c:v>
                </c:pt>
                <c:pt idx="568">
                  <c:v>41649</c:v>
                </c:pt>
                <c:pt idx="569">
                  <c:v>41285</c:v>
                </c:pt>
                <c:pt idx="570">
                  <c:v>41640</c:v>
                </c:pt>
                <c:pt idx="571">
                  <c:v>41644</c:v>
                </c:pt>
                <c:pt idx="572">
                  <c:v>41651</c:v>
                </c:pt>
                <c:pt idx="573">
                  <c:v>41642</c:v>
                </c:pt>
                <c:pt idx="574">
                  <c:v>41651</c:v>
                </c:pt>
                <c:pt idx="575">
                  <c:v>41283</c:v>
                </c:pt>
                <c:pt idx="576">
                  <c:v>41645</c:v>
                </c:pt>
                <c:pt idx="577">
                  <c:v>41645</c:v>
                </c:pt>
                <c:pt idx="578">
                  <c:v>41642</c:v>
                </c:pt>
                <c:pt idx="579">
                  <c:v>41642</c:v>
                </c:pt>
                <c:pt idx="580">
                  <c:v>41283</c:v>
                </c:pt>
                <c:pt idx="581">
                  <c:v>41640</c:v>
                </c:pt>
                <c:pt idx="582">
                  <c:v>41641</c:v>
                </c:pt>
                <c:pt idx="583">
                  <c:v>41645</c:v>
                </c:pt>
                <c:pt idx="584">
                  <c:v>41646</c:v>
                </c:pt>
                <c:pt idx="585">
                  <c:v>41649</c:v>
                </c:pt>
                <c:pt idx="586">
                  <c:v>41640</c:v>
                </c:pt>
                <c:pt idx="587">
                  <c:v>41640</c:v>
                </c:pt>
                <c:pt idx="588">
                  <c:v>41641</c:v>
                </c:pt>
                <c:pt idx="589">
                  <c:v>41641</c:v>
                </c:pt>
                <c:pt idx="590">
                  <c:v>41645</c:v>
                </c:pt>
                <c:pt idx="591">
                  <c:v>41645</c:v>
                </c:pt>
                <c:pt idx="592">
                  <c:v>41646</c:v>
                </c:pt>
                <c:pt idx="593">
                  <c:v>41647</c:v>
                </c:pt>
                <c:pt idx="594">
                  <c:v>41649</c:v>
                </c:pt>
                <c:pt idx="595">
                  <c:v>41649</c:v>
                </c:pt>
                <c:pt idx="596">
                  <c:v>41650</c:v>
                </c:pt>
                <c:pt idx="597">
                  <c:v>41651</c:v>
                </c:pt>
                <c:pt idx="598">
                  <c:v>41640</c:v>
                </c:pt>
                <c:pt idx="599">
                  <c:v>41645</c:v>
                </c:pt>
                <c:pt idx="600">
                  <c:v>41645</c:v>
                </c:pt>
                <c:pt idx="601">
                  <c:v>41645</c:v>
                </c:pt>
                <c:pt idx="602">
                  <c:v>41283</c:v>
                </c:pt>
                <c:pt idx="603">
                  <c:v>41649</c:v>
                </c:pt>
                <c:pt idx="604">
                  <c:v>41285</c:v>
                </c:pt>
                <c:pt idx="605">
                  <c:v>41651</c:v>
                </c:pt>
                <c:pt idx="606">
                  <c:v>41645</c:v>
                </c:pt>
                <c:pt idx="607">
                  <c:v>41649</c:v>
                </c:pt>
                <c:pt idx="608">
                  <c:v>41640</c:v>
                </c:pt>
                <c:pt idx="609">
                  <c:v>41645</c:v>
                </c:pt>
                <c:pt idx="610">
                  <c:v>41649</c:v>
                </c:pt>
                <c:pt idx="611">
                  <c:v>41286</c:v>
                </c:pt>
                <c:pt idx="612">
                  <c:v>41643</c:v>
                </c:pt>
                <c:pt idx="613">
                  <c:v>41644</c:v>
                </c:pt>
                <c:pt idx="614">
                  <c:v>41284</c:v>
                </c:pt>
                <c:pt idx="615">
                  <c:v>41651</c:v>
                </c:pt>
                <c:pt idx="616">
                  <c:v>41641</c:v>
                </c:pt>
                <c:pt idx="617">
                  <c:v>41284</c:v>
                </c:pt>
                <c:pt idx="618">
                  <c:v>41641</c:v>
                </c:pt>
                <c:pt idx="619">
                  <c:v>41642</c:v>
                </c:pt>
                <c:pt idx="620">
                  <c:v>41648</c:v>
                </c:pt>
                <c:pt idx="621">
                  <c:v>41649</c:v>
                </c:pt>
                <c:pt idx="622">
                  <c:v>41651</c:v>
                </c:pt>
                <c:pt idx="623">
                  <c:v>41649</c:v>
                </c:pt>
                <c:pt idx="624">
                  <c:v>41286</c:v>
                </c:pt>
                <c:pt idx="625">
                  <c:v>41646</c:v>
                </c:pt>
                <c:pt idx="626">
                  <c:v>41283</c:v>
                </c:pt>
                <c:pt idx="627">
                  <c:v>41649</c:v>
                </c:pt>
                <c:pt idx="628">
                  <c:v>41649</c:v>
                </c:pt>
                <c:pt idx="629">
                  <c:v>41650</c:v>
                </c:pt>
                <c:pt idx="630">
                  <c:v>41651</c:v>
                </c:pt>
                <c:pt idx="631">
                  <c:v>41286</c:v>
                </c:pt>
                <c:pt idx="632">
                  <c:v>41640</c:v>
                </c:pt>
                <c:pt idx="633">
                  <c:v>41643</c:v>
                </c:pt>
                <c:pt idx="634">
                  <c:v>41644</c:v>
                </c:pt>
                <c:pt idx="635">
                  <c:v>41648</c:v>
                </c:pt>
                <c:pt idx="636">
                  <c:v>41284</c:v>
                </c:pt>
                <c:pt idx="637">
                  <c:v>41651</c:v>
                </c:pt>
                <c:pt idx="638">
                  <c:v>41641</c:v>
                </c:pt>
                <c:pt idx="639">
                  <c:v>41283</c:v>
                </c:pt>
                <c:pt idx="640">
                  <c:v>41284</c:v>
                </c:pt>
                <c:pt idx="641">
                  <c:v>41649</c:v>
                </c:pt>
                <c:pt idx="642">
                  <c:v>41649</c:v>
                </c:pt>
                <c:pt idx="643">
                  <c:v>41650</c:v>
                </c:pt>
                <c:pt idx="644">
                  <c:v>41285</c:v>
                </c:pt>
                <c:pt idx="645">
                  <c:v>41650</c:v>
                </c:pt>
                <c:pt idx="646">
                  <c:v>41285</c:v>
                </c:pt>
                <c:pt idx="647">
                  <c:v>41641</c:v>
                </c:pt>
                <c:pt idx="648">
                  <c:v>41643</c:v>
                </c:pt>
                <c:pt idx="649">
                  <c:v>41646</c:v>
                </c:pt>
                <c:pt idx="650">
                  <c:v>41284</c:v>
                </c:pt>
                <c:pt idx="651">
                  <c:v>41285</c:v>
                </c:pt>
                <c:pt idx="652">
                  <c:v>41642</c:v>
                </c:pt>
                <c:pt idx="653">
                  <c:v>41647</c:v>
                </c:pt>
                <c:pt idx="654">
                  <c:v>41284</c:v>
                </c:pt>
                <c:pt idx="655">
                  <c:v>41649</c:v>
                </c:pt>
                <c:pt idx="656">
                  <c:v>41649</c:v>
                </c:pt>
                <c:pt idx="657">
                  <c:v>41286</c:v>
                </c:pt>
                <c:pt idx="658">
                  <c:v>41642</c:v>
                </c:pt>
                <c:pt idx="659">
                  <c:v>41644</c:v>
                </c:pt>
                <c:pt idx="660">
                  <c:v>41647</c:v>
                </c:pt>
                <c:pt idx="661">
                  <c:v>41284</c:v>
                </c:pt>
                <c:pt idx="662">
                  <c:v>41649</c:v>
                </c:pt>
                <c:pt idx="663">
                  <c:v>41649</c:v>
                </c:pt>
                <c:pt idx="664">
                  <c:v>41284</c:v>
                </c:pt>
                <c:pt idx="665">
                  <c:v>41285</c:v>
                </c:pt>
                <c:pt idx="666">
                  <c:v>41647</c:v>
                </c:pt>
                <c:pt idx="667">
                  <c:v>41647</c:v>
                </c:pt>
                <c:pt idx="668">
                  <c:v>41649</c:v>
                </c:pt>
                <c:pt idx="669">
                  <c:v>41649</c:v>
                </c:pt>
                <c:pt idx="670">
                  <c:v>41642</c:v>
                </c:pt>
                <c:pt idx="671">
                  <c:v>41643</c:v>
                </c:pt>
                <c:pt idx="672">
                  <c:v>41643</c:v>
                </c:pt>
                <c:pt idx="673">
                  <c:v>41644</c:v>
                </c:pt>
                <c:pt idx="674">
                  <c:v>41647</c:v>
                </c:pt>
                <c:pt idx="675">
                  <c:v>41284</c:v>
                </c:pt>
                <c:pt idx="676">
                  <c:v>41649</c:v>
                </c:pt>
                <c:pt idx="677">
                  <c:v>41649</c:v>
                </c:pt>
                <c:pt idx="678">
                  <c:v>41285</c:v>
                </c:pt>
                <c:pt idx="679">
                  <c:v>41285</c:v>
                </c:pt>
                <c:pt idx="680">
                  <c:v>41651</c:v>
                </c:pt>
                <c:pt idx="681">
                  <c:v>41651</c:v>
                </c:pt>
                <c:pt idx="682">
                  <c:v>41642</c:v>
                </c:pt>
                <c:pt idx="683">
                  <c:v>41644</c:v>
                </c:pt>
                <c:pt idx="684">
                  <c:v>41648</c:v>
                </c:pt>
                <c:pt idx="685">
                  <c:v>41285</c:v>
                </c:pt>
                <c:pt idx="686">
                  <c:v>41286</c:v>
                </c:pt>
                <c:pt idx="687">
                  <c:v>41651</c:v>
                </c:pt>
                <c:pt idx="688">
                  <c:v>41646</c:v>
                </c:pt>
                <c:pt idx="689">
                  <c:v>41646</c:v>
                </c:pt>
                <c:pt idx="690">
                  <c:v>41284</c:v>
                </c:pt>
                <c:pt idx="691">
                  <c:v>41649</c:v>
                </c:pt>
                <c:pt idx="692">
                  <c:v>41285</c:v>
                </c:pt>
                <c:pt idx="693">
                  <c:v>41650</c:v>
                </c:pt>
                <c:pt idx="694">
                  <c:v>41651</c:v>
                </c:pt>
                <c:pt idx="695">
                  <c:v>41642</c:v>
                </c:pt>
                <c:pt idx="696">
                  <c:v>41649</c:v>
                </c:pt>
                <c:pt idx="697">
                  <c:v>41641</c:v>
                </c:pt>
                <c:pt idx="698">
                  <c:v>41643</c:v>
                </c:pt>
                <c:pt idx="699">
                  <c:v>41644</c:v>
                </c:pt>
              </c:numCache>
            </c:numRef>
          </c:yVal>
          <c:bubbleSize>
            <c:numRef>
              <c:f>Sheet1!$K$4:$K$703</c:f>
              <c:numCache>
                <c:formatCode>General</c:formatCode>
                <c:ptCount val="700"/>
                <c:pt idx="0">
                  <c:v>32370</c:v>
                </c:pt>
                <c:pt idx="1">
                  <c:v>26420</c:v>
                </c:pt>
                <c:pt idx="2">
                  <c:v>32670</c:v>
                </c:pt>
                <c:pt idx="3">
                  <c:v>13320</c:v>
                </c:pt>
                <c:pt idx="4">
                  <c:v>37050</c:v>
                </c:pt>
                <c:pt idx="5">
                  <c:v>529550</c:v>
                </c:pt>
                <c:pt idx="6">
                  <c:v>13815</c:v>
                </c:pt>
                <c:pt idx="7">
                  <c:v>30216</c:v>
                </c:pt>
                <c:pt idx="8">
                  <c:v>37980</c:v>
                </c:pt>
                <c:pt idx="9">
                  <c:v>18540</c:v>
                </c:pt>
                <c:pt idx="10">
                  <c:v>37050</c:v>
                </c:pt>
                <c:pt idx="11">
                  <c:v>333187.5</c:v>
                </c:pt>
                <c:pt idx="12">
                  <c:v>287400</c:v>
                </c:pt>
                <c:pt idx="13">
                  <c:v>15022</c:v>
                </c:pt>
                <c:pt idx="14">
                  <c:v>43125</c:v>
                </c:pt>
                <c:pt idx="15">
                  <c:v>9225</c:v>
                </c:pt>
                <c:pt idx="16">
                  <c:v>5840</c:v>
                </c:pt>
                <c:pt idx="17">
                  <c:v>14610</c:v>
                </c:pt>
                <c:pt idx="18">
                  <c:v>30216</c:v>
                </c:pt>
                <c:pt idx="19">
                  <c:v>352100</c:v>
                </c:pt>
                <c:pt idx="20">
                  <c:v>4404</c:v>
                </c:pt>
                <c:pt idx="21">
                  <c:v>6181</c:v>
                </c:pt>
                <c:pt idx="22">
                  <c:v>8235</c:v>
                </c:pt>
                <c:pt idx="23">
                  <c:v>236400</c:v>
                </c:pt>
                <c:pt idx="24">
                  <c:v>37080</c:v>
                </c:pt>
                <c:pt idx="25">
                  <c:v>8001</c:v>
                </c:pt>
                <c:pt idx="26">
                  <c:v>603750</c:v>
                </c:pt>
                <c:pt idx="27">
                  <c:v>10944</c:v>
                </c:pt>
                <c:pt idx="28">
                  <c:v>32280</c:v>
                </c:pt>
                <c:pt idx="29">
                  <c:v>36340</c:v>
                </c:pt>
                <c:pt idx="30">
                  <c:v>529550</c:v>
                </c:pt>
                <c:pt idx="31">
                  <c:v>10451</c:v>
                </c:pt>
                <c:pt idx="32">
                  <c:v>225500</c:v>
                </c:pt>
                <c:pt idx="33">
                  <c:v>25932</c:v>
                </c:pt>
                <c:pt idx="34">
                  <c:v>352100</c:v>
                </c:pt>
                <c:pt idx="35">
                  <c:v>18540</c:v>
                </c:pt>
                <c:pt idx="36">
                  <c:v>352625</c:v>
                </c:pt>
                <c:pt idx="37">
                  <c:v>43125</c:v>
                </c:pt>
                <c:pt idx="38">
                  <c:v>600300</c:v>
                </c:pt>
                <c:pt idx="39">
                  <c:v>34056</c:v>
                </c:pt>
                <c:pt idx="40">
                  <c:v>32670</c:v>
                </c:pt>
                <c:pt idx="41">
                  <c:v>13320</c:v>
                </c:pt>
                <c:pt idx="42">
                  <c:v>534450</c:v>
                </c:pt>
                <c:pt idx="43">
                  <c:v>645300</c:v>
                </c:pt>
                <c:pt idx="44">
                  <c:v>36340</c:v>
                </c:pt>
                <c:pt idx="45">
                  <c:v>962500</c:v>
                </c:pt>
                <c:pt idx="46">
                  <c:v>23436</c:v>
                </c:pt>
                <c:pt idx="47">
                  <c:v>527437.5</c:v>
                </c:pt>
                <c:pt idx="48">
                  <c:v>37980</c:v>
                </c:pt>
                <c:pt idx="49">
                  <c:v>11802</c:v>
                </c:pt>
                <c:pt idx="50">
                  <c:v>25692</c:v>
                </c:pt>
                <c:pt idx="51">
                  <c:v>8001</c:v>
                </c:pt>
                <c:pt idx="52">
                  <c:v>9225</c:v>
                </c:pt>
                <c:pt idx="53">
                  <c:v>27338.85</c:v>
                </c:pt>
                <c:pt idx="54">
                  <c:v>34095.599999999999</c:v>
                </c:pt>
                <c:pt idx="55">
                  <c:v>7137.9</c:v>
                </c:pt>
                <c:pt idx="56">
                  <c:v>4428.2700000000004</c:v>
                </c:pt>
                <c:pt idx="57">
                  <c:v>9189.18</c:v>
                </c:pt>
                <c:pt idx="58">
                  <c:v>22073.040000000001</c:v>
                </c:pt>
                <c:pt idx="59">
                  <c:v>419265</c:v>
                </c:pt>
                <c:pt idx="60">
                  <c:v>17525.97</c:v>
                </c:pt>
                <c:pt idx="61">
                  <c:v>17166.599999999999</c:v>
                </c:pt>
                <c:pt idx="62">
                  <c:v>40837.5</c:v>
                </c:pt>
                <c:pt idx="63">
                  <c:v>31731.48</c:v>
                </c:pt>
                <c:pt idx="64">
                  <c:v>9100.08</c:v>
                </c:pt>
                <c:pt idx="65">
                  <c:v>146718</c:v>
                </c:pt>
                <c:pt idx="66">
                  <c:v>484060.5</c:v>
                </c:pt>
                <c:pt idx="67">
                  <c:v>746707.5</c:v>
                </c:pt>
                <c:pt idx="68">
                  <c:v>32877.9</c:v>
                </c:pt>
                <c:pt idx="69">
                  <c:v>683397</c:v>
                </c:pt>
                <c:pt idx="70">
                  <c:v>27234.9</c:v>
                </c:pt>
                <c:pt idx="71">
                  <c:v>12681.9</c:v>
                </c:pt>
                <c:pt idx="72">
                  <c:v>741906</c:v>
                </c:pt>
                <c:pt idx="73">
                  <c:v>82046.25</c:v>
                </c:pt>
                <c:pt idx="74">
                  <c:v>22482.9</c:v>
                </c:pt>
                <c:pt idx="75">
                  <c:v>31133.03</c:v>
                </c:pt>
                <c:pt idx="76">
                  <c:v>89966.25</c:v>
                </c:pt>
                <c:pt idx="77">
                  <c:v>97391.25</c:v>
                </c:pt>
                <c:pt idx="78">
                  <c:v>225596.25</c:v>
                </c:pt>
                <c:pt idx="79">
                  <c:v>11092.95</c:v>
                </c:pt>
                <c:pt idx="80">
                  <c:v>9100.08</c:v>
                </c:pt>
                <c:pt idx="81">
                  <c:v>862785</c:v>
                </c:pt>
                <c:pt idx="82">
                  <c:v>746707.5</c:v>
                </c:pt>
                <c:pt idx="83">
                  <c:v>76507.199999999997</c:v>
                </c:pt>
                <c:pt idx="84">
                  <c:v>2508.66</c:v>
                </c:pt>
                <c:pt idx="85">
                  <c:v>114221.25</c:v>
                </c:pt>
                <c:pt idx="86">
                  <c:v>82046.25</c:v>
                </c:pt>
                <c:pt idx="87">
                  <c:v>14497.56</c:v>
                </c:pt>
                <c:pt idx="88">
                  <c:v>1822.59</c:v>
                </c:pt>
                <c:pt idx="89">
                  <c:v>326922.75</c:v>
                </c:pt>
                <c:pt idx="90">
                  <c:v>89966.25</c:v>
                </c:pt>
                <c:pt idx="91">
                  <c:v>97391.25</c:v>
                </c:pt>
                <c:pt idx="92">
                  <c:v>292842</c:v>
                </c:pt>
                <c:pt idx="93">
                  <c:v>146718</c:v>
                </c:pt>
                <c:pt idx="94">
                  <c:v>484060.5</c:v>
                </c:pt>
                <c:pt idx="95">
                  <c:v>215820</c:v>
                </c:pt>
                <c:pt idx="96">
                  <c:v>23629.32</c:v>
                </c:pt>
                <c:pt idx="97">
                  <c:v>4766.8500000000004</c:v>
                </c:pt>
                <c:pt idx="98">
                  <c:v>90956.25</c:v>
                </c:pt>
                <c:pt idx="99">
                  <c:v>15229.2</c:v>
                </c:pt>
                <c:pt idx="100">
                  <c:v>62916</c:v>
                </c:pt>
                <c:pt idx="101">
                  <c:v>14714.7</c:v>
                </c:pt>
                <c:pt idx="102">
                  <c:v>978236</c:v>
                </c:pt>
                <c:pt idx="103">
                  <c:v>13429.92</c:v>
                </c:pt>
                <c:pt idx="104">
                  <c:v>30693.599999999999</c:v>
                </c:pt>
                <c:pt idx="105">
                  <c:v>8114.4</c:v>
                </c:pt>
                <c:pt idx="106">
                  <c:v>203350</c:v>
                </c:pt>
                <c:pt idx="107">
                  <c:v>34736.1</c:v>
                </c:pt>
                <c:pt idx="108">
                  <c:v>269892</c:v>
                </c:pt>
                <c:pt idx="109">
                  <c:v>508032</c:v>
                </c:pt>
                <c:pt idx="110">
                  <c:v>13429.92</c:v>
                </c:pt>
                <c:pt idx="111">
                  <c:v>81095</c:v>
                </c:pt>
                <c:pt idx="112">
                  <c:v>15229.2</c:v>
                </c:pt>
                <c:pt idx="113">
                  <c:v>99102.5</c:v>
                </c:pt>
                <c:pt idx="114">
                  <c:v>262762.5</c:v>
                </c:pt>
                <c:pt idx="115">
                  <c:v>20991.599999999999</c:v>
                </c:pt>
                <c:pt idx="116">
                  <c:v>563304</c:v>
                </c:pt>
                <c:pt idx="117">
                  <c:v>978236</c:v>
                </c:pt>
                <c:pt idx="118">
                  <c:v>334302.5</c:v>
                </c:pt>
                <c:pt idx="119">
                  <c:v>28297.5</c:v>
                </c:pt>
                <c:pt idx="120">
                  <c:v>13809.18</c:v>
                </c:pt>
                <c:pt idx="121">
                  <c:v>12406.8</c:v>
                </c:pt>
                <c:pt idx="122">
                  <c:v>12747.84</c:v>
                </c:pt>
                <c:pt idx="123">
                  <c:v>30693.599999999999</c:v>
                </c:pt>
                <c:pt idx="124">
                  <c:v>1017338</c:v>
                </c:pt>
                <c:pt idx="125">
                  <c:v>986811</c:v>
                </c:pt>
                <c:pt idx="126">
                  <c:v>99102.5</c:v>
                </c:pt>
                <c:pt idx="127">
                  <c:v>262762.5</c:v>
                </c:pt>
                <c:pt idx="128">
                  <c:v>12406.8</c:v>
                </c:pt>
                <c:pt idx="129">
                  <c:v>10662.4</c:v>
                </c:pt>
                <c:pt idx="130">
                  <c:v>12747.84</c:v>
                </c:pt>
                <c:pt idx="131">
                  <c:v>81095</c:v>
                </c:pt>
                <c:pt idx="132">
                  <c:v>62916</c:v>
                </c:pt>
                <c:pt idx="133">
                  <c:v>986811</c:v>
                </c:pt>
                <c:pt idx="134">
                  <c:v>334302.5</c:v>
                </c:pt>
                <c:pt idx="135">
                  <c:v>91238</c:v>
                </c:pt>
                <c:pt idx="136">
                  <c:v>665420</c:v>
                </c:pt>
                <c:pt idx="137">
                  <c:v>76146</c:v>
                </c:pt>
                <c:pt idx="138">
                  <c:v>323694</c:v>
                </c:pt>
                <c:pt idx="139">
                  <c:v>278810</c:v>
                </c:pt>
                <c:pt idx="140">
                  <c:v>1017338</c:v>
                </c:pt>
                <c:pt idx="141">
                  <c:v>24225.599999999999</c:v>
                </c:pt>
                <c:pt idx="142">
                  <c:v>18443.599999999999</c:v>
                </c:pt>
                <c:pt idx="143">
                  <c:v>563304</c:v>
                </c:pt>
                <c:pt idx="144">
                  <c:v>514524.38</c:v>
                </c:pt>
                <c:pt idx="145">
                  <c:v>50052</c:v>
                </c:pt>
                <c:pt idx="146">
                  <c:v>200499</c:v>
                </c:pt>
                <c:pt idx="147">
                  <c:v>22663.08</c:v>
                </c:pt>
                <c:pt idx="148">
                  <c:v>10569.12</c:v>
                </c:pt>
                <c:pt idx="149">
                  <c:v>13294.82</c:v>
                </c:pt>
                <c:pt idx="150">
                  <c:v>22127.64</c:v>
                </c:pt>
                <c:pt idx="151">
                  <c:v>3693.76</c:v>
                </c:pt>
                <c:pt idx="152">
                  <c:v>610081.5</c:v>
                </c:pt>
                <c:pt idx="153">
                  <c:v>156048.75</c:v>
                </c:pt>
                <c:pt idx="154">
                  <c:v>206852.5</c:v>
                </c:pt>
                <c:pt idx="155">
                  <c:v>708439.5</c:v>
                </c:pt>
                <c:pt idx="156">
                  <c:v>215097.5</c:v>
                </c:pt>
                <c:pt idx="157">
                  <c:v>22127.64</c:v>
                </c:pt>
                <c:pt idx="158">
                  <c:v>200499</c:v>
                </c:pt>
                <c:pt idx="159">
                  <c:v>190362.5</c:v>
                </c:pt>
                <c:pt idx="160">
                  <c:v>15940.98</c:v>
                </c:pt>
                <c:pt idx="161">
                  <c:v>243591.25</c:v>
                </c:pt>
                <c:pt idx="162">
                  <c:v>28299.75</c:v>
                </c:pt>
                <c:pt idx="163">
                  <c:v>156048.75</c:v>
                </c:pt>
                <c:pt idx="164">
                  <c:v>206852.5</c:v>
                </c:pt>
                <c:pt idx="165">
                  <c:v>243591.25</c:v>
                </c:pt>
                <c:pt idx="166">
                  <c:v>827604</c:v>
                </c:pt>
                <c:pt idx="167">
                  <c:v>22302.240000000002</c:v>
                </c:pt>
                <c:pt idx="168">
                  <c:v>190362.5</c:v>
                </c:pt>
                <c:pt idx="169">
                  <c:v>545334</c:v>
                </c:pt>
                <c:pt idx="170">
                  <c:v>557459</c:v>
                </c:pt>
                <c:pt idx="171">
                  <c:v>28299.75</c:v>
                </c:pt>
                <c:pt idx="172">
                  <c:v>16121.4</c:v>
                </c:pt>
                <c:pt idx="173">
                  <c:v>11950.4</c:v>
                </c:pt>
                <c:pt idx="174">
                  <c:v>74699.7</c:v>
                </c:pt>
                <c:pt idx="175">
                  <c:v>28855.56</c:v>
                </c:pt>
                <c:pt idx="176">
                  <c:v>29246.400000000001</c:v>
                </c:pt>
                <c:pt idx="177">
                  <c:v>29246.400000000001</c:v>
                </c:pt>
                <c:pt idx="178">
                  <c:v>32558.400000000001</c:v>
                </c:pt>
                <c:pt idx="179">
                  <c:v>14131.2</c:v>
                </c:pt>
                <c:pt idx="180">
                  <c:v>19158.72</c:v>
                </c:pt>
                <c:pt idx="181">
                  <c:v>582048</c:v>
                </c:pt>
                <c:pt idx="182">
                  <c:v>92064</c:v>
                </c:pt>
                <c:pt idx="183">
                  <c:v>28324.799999999999</c:v>
                </c:pt>
                <c:pt idx="184">
                  <c:v>535392</c:v>
                </c:pt>
                <c:pt idx="185">
                  <c:v>19158.72</c:v>
                </c:pt>
                <c:pt idx="186">
                  <c:v>582048</c:v>
                </c:pt>
                <c:pt idx="187">
                  <c:v>136560</c:v>
                </c:pt>
                <c:pt idx="188">
                  <c:v>28566.720000000001</c:v>
                </c:pt>
                <c:pt idx="189">
                  <c:v>95400</c:v>
                </c:pt>
                <c:pt idx="190">
                  <c:v>407376</c:v>
                </c:pt>
                <c:pt idx="191">
                  <c:v>840384</c:v>
                </c:pt>
                <c:pt idx="192">
                  <c:v>1159200</c:v>
                </c:pt>
                <c:pt idx="193">
                  <c:v>358560</c:v>
                </c:pt>
                <c:pt idx="194">
                  <c:v>3139.2</c:v>
                </c:pt>
                <c:pt idx="195">
                  <c:v>39820.800000000003</c:v>
                </c:pt>
                <c:pt idx="196">
                  <c:v>20275.2</c:v>
                </c:pt>
                <c:pt idx="197">
                  <c:v>9662.4</c:v>
                </c:pt>
                <c:pt idx="198">
                  <c:v>21801.599999999999</c:v>
                </c:pt>
                <c:pt idx="199">
                  <c:v>92064</c:v>
                </c:pt>
                <c:pt idx="200">
                  <c:v>136560</c:v>
                </c:pt>
                <c:pt idx="201">
                  <c:v>16876.8</c:v>
                </c:pt>
                <c:pt idx="202">
                  <c:v>50803.199999999997</c:v>
                </c:pt>
                <c:pt idx="203">
                  <c:v>731472</c:v>
                </c:pt>
                <c:pt idx="204">
                  <c:v>9976.32</c:v>
                </c:pt>
                <c:pt idx="205">
                  <c:v>117264</c:v>
                </c:pt>
                <c:pt idx="206">
                  <c:v>731472</c:v>
                </c:pt>
                <c:pt idx="207">
                  <c:v>21801.599999999999</c:v>
                </c:pt>
                <c:pt idx="208">
                  <c:v>626640</c:v>
                </c:pt>
                <c:pt idx="209">
                  <c:v>128880</c:v>
                </c:pt>
                <c:pt idx="210">
                  <c:v>640752</c:v>
                </c:pt>
                <c:pt idx="211">
                  <c:v>9662.4</c:v>
                </c:pt>
                <c:pt idx="212">
                  <c:v>597408</c:v>
                </c:pt>
                <c:pt idx="213">
                  <c:v>7707.35</c:v>
                </c:pt>
                <c:pt idx="214">
                  <c:v>9123.7999999999993</c:v>
                </c:pt>
                <c:pt idx="215">
                  <c:v>15620.85</c:v>
                </c:pt>
                <c:pt idx="216">
                  <c:v>17881.849999999999</c:v>
                </c:pt>
                <c:pt idx="217">
                  <c:v>27713.4</c:v>
                </c:pt>
                <c:pt idx="218">
                  <c:v>27713.4</c:v>
                </c:pt>
                <c:pt idx="219">
                  <c:v>17881.849999999999</c:v>
                </c:pt>
                <c:pt idx="220">
                  <c:v>11191.95</c:v>
                </c:pt>
                <c:pt idx="221">
                  <c:v>12802.2</c:v>
                </c:pt>
                <c:pt idx="222">
                  <c:v>7707.35</c:v>
                </c:pt>
                <c:pt idx="223">
                  <c:v>21261</c:v>
                </c:pt>
                <c:pt idx="224">
                  <c:v>12722.4</c:v>
                </c:pt>
                <c:pt idx="225">
                  <c:v>29697</c:v>
                </c:pt>
                <c:pt idx="226">
                  <c:v>282435</c:v>
                </c:pt>
                <c:pt idx="227">
                  <c:v>6756.4</c:v>
                </c:pt>
                <c:pt idx="228">
                  <c:v>39771.75</c:v>
                </c:pt>
                <c:pt idx="229">
                  <c:v>3790.5</c:v>
                </c:pt>
                <c:pt idx="230">
                  <c:v>16538.55</c:v>
                </c:pt>
                <c:pt idx="231">
                  <c:v>460346.25</c:v>
                </c:pt>
                <c:pt idx="232">
                  <c:v>430706.25</c:v>
                </c:pt>
                <c:pt idx="233">
                  <c:v>239400</c:v>
                </c:pt>
                <c:pt idx="234">
                  <c:v>26698.799999999999</c:v>
                </c:pt>
                <c:pt idx="235">
                  <c:v>313500</c:v>
                </c:pt>
                <c:pt idx="236">
                  <c:v>24757</c:v>
                </c:pt>
                <c:pt idx="237">
                  <c:v>355300</c:v>
                </c:pt>
                <c:pt idx="238">
                  <c:v>283218.75</c:v>
                </c:pt>
                <c:pt idx="239">
                  <c:v>457995</c:v>
                </c:pt>
                <c:pt idx="240">
                  <c:v>15474.55</c:v>
                </c:pt>
                <c:pt idx="241">
                  <c:v>282435</c:v>
                </c:pt>
                <c:pt idx="242">
                  <c:v>200165</c:v>
                </c:pt>
                <c:pt idx="243">
                  <c:v>37335</c:v>
                </c:pt>
                <c:pt idx="244">
                  <c:v>408310</c:v>
                </c:pt>
                <c:pt idx="245">
                  <c:v>26391</c:v>
                </c:pt>
                <c:pt idx="246">
                  <c:v>102243.75</c:v>
                </c:pt>
                <c:pt idx="247">
                  <c:v>83600</c:v>
                </c:pt>
                <c:pt idx="248">
                  <c:v>34238</c:v>
                </c:pt>
                <c:pt idx="249">
                  <c:v>50597</c:v>
                </c:pt>
                <c:pt idx="250">
                  <c:v>14204.4</c:v>
                </c:pt>
                <c:pt idx="251">
                  <c:v>30153</c:v>
                </c:pt>
                <c:pt idx="252">
                  <c:v>7908.75</c:v>
                </c:pt>
                <c:pt idx="253">
                  <c:v>40769.25</c:v>
                </c:pt>
                <c:pt idx="254">
                  <c:v>95831.25</c:v>
                </c:pt>
                <c:pt idx="255">
                  <c:v>200165</c:v>
                </c:pt>
                <c:pt idx="256">
                  <c:v>53808</c:v>
                </c:pt>
                <c:pt idx="257">
                  <c:v>30001</c:v>
                </c:pt>
                <c:pt idx="258">
                  <c:v>102243.75</c:v>
                </c:pt>
                <c:pt idx="259">
                  <c:v>83600</c:v>
                </c:pt>
                <c:pt idx="260">
                  <c:v>19627</c:v>
                </c:pt>
                <c:pt idx="261">
                  <c:v>356250</c:v>
                </c:pt>
                <c:pt idx="262">
                  <c:v>26391</c:v>
                </c:pt>
                <c:pt idx="263">
                  <c:v>24035</c:v>
                </c:pt>
                <c:pt idx="264">
                  <c:v>43643</c:v>
                </c:pt>
                <c:pt idx="265">
                  <c:v>50597</c:v>
                </c:pt>
                <c:pt idx="266">
                  <c:v>3790.5</c:v>
                </c:pt>
                <c:pt idx="267">
                  <c:v>16538.55</c:v>
                </c:pt>
                <c:pt idx="268">
                  <c:v>448875</c:v>
                </c:pt>
                <c:pt idx="269">
                  <c:v>183540</c:v>
                </c:pt>
                <c:pt idx="270">
                  <c:v>408310</c:v>
                </c:pt>
                <c:pt idx="271">
                  <c:v>356250</c:v>
                </c:pt>
                <c:pt idx="272">
                  <c:v>53594.1</c:v>
                </c:pt>
                <c:pt idx="273">
                  <c:v>21009</c:v>
                </c:pt>
                <c:pt idx="274">
                  <c:v>40100.400000000001</c:v>
                </c:pt>
                <c:pt idx="275">
                  <c:v>6339.36</c:v>
                </c:pt>
                <c:pt idx="276">
                  <c:v>25932.720000000001</c:v>
                </c:pt>
                <c:pt idx="277">
                  <c:v>28623</c:v>
                </c:pt>
                <c:pt idx="278">
                  <c:v>1730.54</c:v>
                </c:pt>
                <c:pt idx="279">
                  <c:v>104222.5</c:v>
                </c:pt>
                <c:pt idx="280">
                  <c:v>322420</c:v>
                </c:pt>
                <c:pt idx="281">
                  <c:v>480340</c:v>
                </c:pt>
                <c:pt idx="282">
                  <c:v>9231.74</c:v>
                </c:pt>
                <c:pt idx="283">
                  <c:v>30715.439999999999</c:v>
                </c:pt>
                <c:pt idx="284">
                  <c:v>492184</c:v>
                </c:pt>
                <c:pt idx="285">
                  <c:v>25932.720000000001</c:v>
                </c:pt>
                <c:pt idx="286">
                  <c:v>239183</c:v>
                </c:pt>
                <c:pt idx="287">
                  <c:v>111860</c:v>
                </c:pt>
                <c:pt idx="288">
                  <c:v>323712.5</c:v>
                </c:pt>
                <c:pt idx="289">
                  <c:v>21573</c:v>
                </c:pt>
                <c:pt idx="290">
                  <c:v>492184</c:v>
                </c:pt>
                <c:pt idx="291">
                  <c:v>9856.84</c:v>
                </c:pt>
                <c:pt idx="292">
                  <c:v>344322</c:v>
                </c:pt>
                <c:pt idx="293">
                  <c:v>683004</c:v>
                </c:pt>
                <c:pt idx="294">
                  <c:v>40100.400000000001</c:v>
                </c:pt>
                <c:pt idx="295">
                  <c:v>9856.84</c:v>
                </c:pt>
                <c:pt idx="296">
                  <c:v>344322</c:v>
                </c:pt>
                <c:pt idx="297">
                  <c:v>21112.400000000001</c:v>
                </c:pt>
                <c:pt idx="298">
                  <c:v>686952</c:v>
                </c:pt>
                <c:pt idx="299">
                  <c:v>233531.25</c:v>
                </c:pt>
                <c:pt idx="300">
                  <c:v>552391</c:v>
                </c:pt>
                <c:pt idx="301">
                  <c:v>239183</c:v>
                </c:pt>
                <c:pt idx="302">
                  <c:v>9231.74</c:v>
                </c:pt>
                <c:pt idx="303">
                  <c:v>683004</c:v>
                </c:pt>
                <c:pt idx="304">
                  <c:v>33031.599999999999</c:v>
                </c:pt>
                <c:pt idx="305">
                  <c:v>30991.8</c:v>
                </c:pt>
                <c:pt idx="306">
                  <c:v>24576.3</c:v>
                </c:pt>
                <c:pt idx="307">
                  <c:v>16257.3</c:v>
                </c:pt>
                <c:pt idx="308">
                  <c:v>33031.599999999999</c:v>
                </c:pt>
                <c:pt idx="309">
                  <c:v>18818.8</c:v>
                </c:pt>
                <c:pt idx="310">
                  <c:v>8771.14</c:v>
                </c:pt>
                <c:pt idx="311">
                  <c:v>16257.3</c:v>
                </c:pt>
                <c:pt idx="312">
                  <c:v>8113.32</c:v>
                </c:pt>
                <c:pt idx="313">
                  <c:v>21025.439999999999</c:v>
                </c:pt>
                <c:pt idx="314">
                  <c:v>34112.400000000001</c:v>
                </c:pt>
                <c:pt idx="315">
                  <c:v>26114.400000000001</c:v>
                </c:pt>
                <c:pt idx="316">
                  <c:v>26136.720000000001</c:v>
                </c:pt>
                <c:pt idx="317">
                  <c:v>6711.81</c:v>
                </c:pt>
                <c:pt idx="318">
                  <c:v>17604.900000000001</c:v>
                </c:pt>
                <c:pt idx="319">
                  <c:v>7388.85</c:v>
                </c:pt>
                <c:pt idx="320">
                  <c:v>3560.97</c:v>
                </c:pt>
                <c:pt idx="321">
                  <c:v>10298.82</c:v>
                </c:pt>
                <c:pt idx="322">
                  <c:v>19401.66</c:v>
                </c:pt>
                <c:pt idx="323">
                  <c:v>24719.4</c:v>
                </c:pt>
                <c:pt idx="324">
                  <c:v>10298.82</c:v>
                </c:pt>
                <c:pt idx="325">
                  <c:v>7388.85</c:v>
                </c:pt>
                <c:pt idx="326">
                  <c:v>573205.5</c:v>
                </c:pt>
                <c:pt idx="327">
                  <c:v>124992</c:v>
                </c:pt>
                <c:pt idx="328">
                  <c:v>608499</c:v>
                </c:pt>
                <c:pt idx="329">
                  <c:v>36753.599999999999</c:v>
                </c:pt>
                <c:pt idx="330">
                  <c:v>608499</c:v>
                </c:pt>
                <c:pt idx="331">
                  <c:v>290625</c:v>
                </c:pt>
                <c:pt idx="332">
                  <c:v>474858</c:v>
                </c:pt>
                <c:pt idx="333">
                  <c:v>124992</c:v>
                </c:pt>
                <c:pt idx="334">
                  <c:v>408386.25</c:v>
                </c:pt>
                <c:pt idx="335">
                  <c:v>29308.95</c:v>
                </c:pt>
                <c:pt idx="336">
                  <c:v>40887.449999999997</c:v>
                </c:pt>
                <c:pt idx="337">
                  <c:v>28551</c:v>
                </c:pt>
                <c:pt idx="338">
                  <c:v>313317</c:v>
                </c:pt>
                <c:pt idx="339">
                  <c:v>391716</c:v>
                </c:pt>
                <c:pt idx="340">
                  <c:v>30835.08</c:v>
                </c:pt>
                <c:pt idx="341">
                  <c:v>13833.75</c:v>
                </c:pt>
                <c:pt idx="342">
                  <c:v>462861</c:v>
                </c:pt>
                <c:pt idx="343">
                  <c:v>11327.4</c:v>
                </c:pt>
                <c:pt idx="344">
                  <c:v>242613.75</c:v>
                </c:pt>
                <c:pt idx="345">
                  <c:v>36753.599999999999</c:v>
                </c:pt>
                <c:pt idx="346">
                  <c:v>26430.6</c:v>
                </c:pt>
                <c:pt idx="347">
                  <c:v>382788</c:v>
                </c:pt>
                <c:pt idx="348">
                  <c:v>10936.8</c:v>
                </c:pt>
                <c:pt idx="349">
                  <c:v>36208.620000000003</c:v>
                </c:pt>
                <c:pt idx="350">
                  <c:v>267561</c:v>
                </c:pt>
                <c:pt idx="351">
                  <c:v>766413</c:v>
                </c:pt>
                <c:pt idx="352">
                  <c:v>191231.25</c:v>
                </c:pt>
                <c:pt idx="353">
                  <c:v>936138</c:v>
                </c:pt>
                <c:pt idx="354">
                  <c:v>115552.5</c:v>
                </c:pt>
                <c:pt idx="355">
                  <c:v>20794.8</c:v>
                </c:pt>
                <c:pt idx="356">
                  <c:v>382788</c:v>
                </c:pt>
                <c:pt idx="357">
                  <c:v>3142.72</c:v>
                </c:pt>
                <c:pt idx="358">
                  <c:v>23588.799999999999</c:v>
                </c:pt>
                <c:pt idx="359">
                  <c:v>1655.08</c:v>
                </c:pt>
                <c:pt idx="360">
                  <c:v>23588.799999999999</c:v>
                </c:pt>
                <c:pt idx="361">
                  <c:v>177100</c:v>
                </c:pt>
                <c:pt idx="362">
                  <c:v>6762</c:v>
                </c:pt>
                <c:pt idx="363">
                  <c:v>438564</c:v>
                </c:pt>
                <c:pt idx="364">
                  <c:v>34513.800000000003</c:v>
                </c:pt>
                <c:pt idx="365">
                  <c:v>13027.2</c:v>
                </c:pt>
                <c:pt idx="366">
                  <c:v>11868</c:v>
                </c:pt>
                <c:pt idx="367">
                  <c:v>431112</c:v>
                </c:pt>
                <c:pt idx="368">
                  <c:v>354108</c:v>
                </c:pt>
                <c:pt idx="369">
                  <c:v>9811.7999999999993</c:v>
                </c:pt>
                <c:pt idx="370">
                  <c:v>128110</c:v>
                </c:pt>
                <c:pt idx="371">
                  <c:v>8107.96</c:v>
                </c:pt>
                <c:pt idx="372">
                  <c:v>7051.8</c:v>
                </c:pt>
                <c:pt idx="373">
                  <c:v>25134.400000000001</c:v>
                </c:pt>
                <c:pt idx="374">
                  <c:v>678960</c:v>
                </c:pt>
                <c:pt idx="375">
                  <c:v>4366.32</c:v>
                </c:pt>
                <c:pt idx="376">
                  <c:v>10291.120000000001</c:v>
                </c:pt>
                <c:pt idx="377">
                  <c:v>15513.96</c:v>
                </c:pt>
                <c:pt idx="378">
                  <c:v>35585.599999999999</c:v>
                </c:pt>
                <c:pt idx="379">
                  <c:v>55071.199999999997</c:v>
                </c:pt>
                <c:pt idx="380">
                  <c:v>691012</c:v>
                </c:pt>
                <c:pt idx="381">
                  <c:v>12532.24</c:v>
                </c:pt>
                <c:pt idx="382">
                  <c:v>438564</c:v>
                </c:pt>
                <c:pt idx="383">
                  <c:v>6601.92</c:v>
                </c:pt>
                <c:pt idx="384">
                  <c:v>18721.080000000002</c:v>
                </c:pt>
                <c:pt idx="385">
                  <c:v>15056.72</c:v>
                </c:pt>
                <c:pt idx="386">
                  <c:v>106536</c:v>
                </c:pt>
                <c:pt idx="387">
                  <c:v>175260</c:v>
                </c:pt>
                <c:pt idx="388">
                  <c:v>184989</c:v>
                </c:pt>
                <c:pt idx="389">
                  <c:v>15056.72</c:v>
                </c:pt>
                <c:pt idx="390">
                  <c:v>122682</c:v>
                </c:pt>
                <c:pt idx="391">
                  <c:v>135884</c:v>
                </c:pt>
                <c:pt idx="392">
                  <c:v>588984</c:v>
                </c:pt>
                <c:pt idx="393">
                  <c:v>223008</c:v>
                </c:pt>
                <c:pt idx="394">
                  <c:v>13027.2</c:v>
                </c:pt>
                <c:pt idx="395">
                  <c:v>18721.080000000002</c:v>
                </c:pt>
                <c:pt idx="396">
                  <c:v>25134.400000000001</c:v>
                </c:pt>
                <c:pt idx="397">
                  <c:v>678960</c:v>
                </c:pt>
                <c:pt idx="398">
                  <c:v>27968</c:v>
                </c:pt>
                <c:pt idx="399">
                  <c:v>9811.7999999999993</c:v>
                </c:pt>
                <c:pt idx="400">
                  <c:v>15180</c:v>
                </c:pt>
                <c:pt idx="401">
                  <c:v>175260</c:v>
                </c:pt>
                <c:pt idx="402">
                  <c:v>8031.6</c:v>
                </c:pt>
                <c:pt idx="403">
                  <c:v>298662</c:v>
                </c:pt>
                <c:pt idx="404">
                  <c:v>4007.64</c:v>
                </c:pt>
                <c:pt idx="405">
                  <c:v>1038082.5</c:v>
                </c:pt>
                <c:pt idx="406">
                  <c:v>530621</c:v>
                </c:pt>
                <c:pt idx="407">
                  <c:v>87906</c:v>
                </c:pt>
                <c:pt idx="408">
                  <c:v>25345.32</c:v>
                </c:pt>
                <c:pt idx="409">
                  <c:v>211233.75</c:v>
                </c:pt>
                <c:pt idx="410">
                  <c:v>10262.07</c:v>
                </c:pt>
                <c:pt idx="411">
                  <c:v>318158.75</c:v>
                </c:pt>
                <c:pt idx="412">
                  <c:v>91182</c:v>
                </c:pt>
                <c:pt idx="413">
                  <c:v>700245</c:v>
                </c:pt>
                <c:pt idx="414">
                  <c:v>769814.5</c:v>
                </c:pt>
                <c:pt idx="415">
                  <c:v>50163.75</c:v>
                </c:pt>
                <c:pt idx="416">
                  <c:v>298662</c:v>
                </c:pt>
                <c:pt idx="417">
                  <c:v>16748.55</c:v>
                </c:pt>
                <c:pt idx="418">
                  <c:v>4007.64</c:v>
                </c:pt>
                <c:pt idx="419">
                  <c:v>361452</c:v>
                </c:pt>
                <c:pt idx="420">
                  <c:v>19383</c:v>
                </c:pt>
                <c:pt idx="421">
                  <c:v>318158.75</c:v>
                </c:pt>
                <c:pt idx="422">
                  <c:v>3344.25</c:v>
                </c:pt>
                <c:pt idx="423">
                  <c:v>1035625.5</c:v>
                </c:pt>
                <c:pt idx="424">
                  <c:v>416279.5</c:v>
                </c:pt>
                <c:pt idx="425">
                  <c:v>64496.25</c:v>
                </c:pt>
                <c:pt idx="426">
                  <c:v>240012.5</c:v>
                </c:pt>
                <c:pt idx="427">
                  <c:v>404176.5</c:v>
                </c:pt>
                <c:pt idx="428">
                  <c:v>21359.52</c:v>
                </c:pt>
                <c:pt idx="429">
                  <c:v>725907</c:v>
                </c:pt>
                <c:pt idx="430">
                  <c:v>430452.75</c:v>
                </c:pt>
                <c:pt idx="431">
                  <c:v>9609.6</c:v>
                </c:pt>
                <c:pt idx="432">
                  <c:v>509691</c:v>
                </c:pt>
                <c:pt idx="433">
                  <c:v>24395.279999999999</c:v>
                </c:pt>
                <c:pt idx="434">
                  <c:v>16748.55</c:v>
                </c:pt>
                <c:pt idx="435">
                  <c:v>99758.75</c:v>
                </c:pt>
                <c:pt idx="436">
                  <c:v>659613.5</c:v>
                </c:pt>
                <c:pt idx="437">
                  <c:v>404176.5</c:v>
                </c:pt>
                <c:pt idx="438">
                  <c:v>13240.5</c:v>
                </c:pt>
                <c:pt idx="439">
                  <c:v>30830.799999999999</c:v>
                </c:pt>
                <c:pt idx="440">
                  <c:v>12066.6</c:v>
                </c:pt>
                <c:pt idx="441">
                  <c:v>5217.03</c:v>
                </c:pt>
                <c:pt idx="442">
                  <c:v>17253.599999999999</c:v>
                </c:pt>
                <c:pt idx="443">
                  <c:v>3318.77</c:v>
                </c:pt>
                <c:pt idx="444">
                  <c:v>17708.599999999999</c:v>
                </c:pt>
                <c:pt idx="445">
                  <c:v>18891.599999999999</c:v>
                </c:pt>
                <c:pt idx="446">
                  <c:v>2293.1999999999998</c:v>
                </c:pt>
                <c:pt idx="447">
                  <c:v>21479.64</c:v>
                </c:pt>
                <c:pt idx="448">
                  <c:v>35872.199999999997</c:v>
                </c:pt>
                <c:pt idx="449">
                  <c:v>2293.1999999999998</c:v>
                </c:pt>
                <c:pt idx="450">
                  <c:v>48812.4</c:v>
                </c:pt>
                <c:pt idx="451">
                  <c:v>3318.77</c:v>
                </c:pt>
                <c:pt idx="452">
                  <c:v>18891.599999999999</c:v>
                </c:pt>
                <c:pt idx="453">
                  <c:v>22256.33</c:v>
                </c:pt>
                <c:pt idx="454">
                  <c:v>3341.52</c:v>
                </c:pt>
                <c:pt idx="455">
                  <c:v>4168.8</c:v>
                </c:pt>
                <c:pt idx="456">
                  <c:v>14666.4</c:v>
                </c:pt>
                <c:pt idx="457">
                  <c:v>4168.8</c:v>
                </c:pt>
                <c:pt idx="458">
                  <c:v>387618.75</c:v>
                </c:pt>
                <c:pt idx="459">
                  <c:v>166725</c:v>
                </c:pt>
                <c:pt idx="460">
                  <c:v>728595</c:v>
                </c:pt>
                <c:pt idx="461">
                  <c:v>202950</c:v>
                </c:pt>
                <c:pt idx="462">
                  <c:v>27972</c:v>
                </c:pt>
                <c:pt idx="463">
                  <c:v>35172</c:v>
                </c:pt>
                <c:pt idx="464">
                  <c:v>159570</c:v>
                </c:pt>
                <c:pt idx="465">
                  <c:v>29254.5</c:v>
                </c:pt>
                <c:pt idx="466">
                  <c:v>4338</c:v>
                </c:pt>
                <c:pt idx="467">
                  <c:v>9193.5</c:v>
                </c:pt>
                <c:pt idx="468">
                  <c:v>6885</c:v>
                </c:pt>
                <c:pt idx="469">
                  <c:v>10665</c:v>
                </c:pt>
                <c:pt idx="470">
                  <c:v>201285</c:v>
                </c:pt>
                <c:pt idx="471">
                  <c:v>179550</c:v>
                </c:pt>
                <c:pt idx="472">
                  <c:v>619380</c:v>
                </c:pt>
                <c:pt idx="473">
                  <c:v>4338</c:v>
                </c:pt>
                <c:pt idx="474">
                  <c:v>16789.5</c:v>
                </c:pt>
                <c:pt idx="475">
                  <c:v>215550</c:v>
                </c:pt>
                <c:pt idx="476">
                  <c:v>230310</c:v>
                </c:pt>
                <c:pt idx="477">
                  <c:v>38362.5</c:v>
                </c:pt>
                <c:pt idx="478">
                  <c:v>8653.5</c:v>
                </c:pt>
                <c:pt idx="479">
                  <c:v>884205</c:v>
                </c:pt>
                <c:pt idx="480">
                  <c:v>116640</c:v>
                </c:pt>
                <c:pt idx="481">
                  <c:v>619380</c:v>
                </c:pt>
                <c:pt idx="482">
                  <c:v>29254.5</c:v>
                </c:pt>
                <c:pt idx="483">
                  <c:v>284512.5</c:v>
                </c:pt>
                <c:pt idx="484">
                  <c:v>589050</c:v>
                </c:pt>
                <c:pt idx="485">
                  <c:v>65137.5</c:v>
                </c:pt>
                <c:pt idx="486">
                  <c:v>705600</c:v>
                </c:pt>
                <c:pt idx="487">
                  <c:v>808110</c:v>
                </c:pt>
                <c:pt idx="488">
                  <c:v>38021.4</c:v>
                </c:pt>
                <c:pt idx="489">
                  <c:v>36702</c:v>
                </c:pt>
                <c:pt idx="490">
                  <c:v>27799.200000000001</c:v>
                </c:pt>
                <c:pt idx="491">
                  <c:v>222705</c:v>
                </c:pt>
                <c:pt idx="492">
                  <c:v>27972</c:v>
                </c:pt>
                <c:pt idx="493">
                  <c:v>230310</c:v>
                </c:pt>
                <c:pt idx="494">
                  <c:v>12794.64</c:v>
                </c:pt>
                <c:pt idx="495">
                  <c:v>15774.36</c:v>
                </c:pt>
                <c:pt idx="496">
                  <c:v>12794.64</c:v>
                </c:pt>
                <c:pt idx="497">
                  <c:v>5126.3999999999996</c:v>
                </c:pt>
                <c:pt idx="498">
                  <c:v>5040.96</c:v>
                </c:pt>
                <c:pt idx="499">
                  <c:v>9837.17</c:v>
                </c:pt>
                <c:pt idx="500">
                  <c:v>10733.4</c:v>
                </c:pt>
                <c:pt idx="501">
                  <c:v>42713.33</c:v>
                </c:pt>
                <c:pt idx="502">
                  <c:v>5040.96</c:v>
                </c:pt>
                <c:pt idx="503">
                  <c:v>20687.16</c:v>
                </c:pt>
                <c:pt idx="504">
                  <c:v>246708</c:v>
                </c:pt>
                <c:pt idx="505">
                  <c:v>750537</c:v>
                </c:pt>
                <c:pt idx="506">
                  <c:v>271561.25</c:v>
                </c:pt>
                <c:pt idx="507">
                  <c:v>20826</c:v>
                </c:pt>
                <c:pt idx="508">
                  <c:v>16858.38</c:v>
                </c:pt>
                <c:pt idx="509">
                  <c:v>238609</c:v>
                </c:pt>
                <c:pt idx="510">
                  <c:v>53257.599999999999</c:v>
                </c:pt>
                <c:pt idx="511">
                  <c:v>28795.95</c:v>
                </c:pt>
                <c:pt idx="512">
                  <c:v>233091</c:v>
                </c:pt>
                <c:pt idx="513">
                  <c:v>19971.599999999999</c:v>
                </c:pt>
                <c:pt idx="514">
                  <c:v>655551.75</c:v>
                </c:pt>
                <c:pt idx="515">
                  <c:v>42997.68</c:v>
                </c:pt>
                <c:pt idx="516">
                  <c:v>25904.34</c:v>
                </c:pt>
                <c:pt idx="517">
                  <c:v>42613.2</c:v>
                </c:pt>
                <c:pt idx="518">
                  <c:v>26486.400000000001</c:v>
                </c:pt>
                <c:pt idx="519">
                  <c:v>271561.25</c:v>
                </c:pt>
                <c:pt idx="520">
                  <c:v>53257.599999999999</c:v>
                </c:pt>
                <c:pt idx="521">
                  <c:v>364722</c:v>
                </c:pt>
                <c:pt idx="522">
                  <c:v>49929</c:v>
                </c:pt>
                <c:pt idx="523">
                  <c:v>8744.25</c:v>
                </c:pt>
                <c:pt idx="524">
                  <c:v>107156</c:v>
                </c:pt>
                <c:pt idx="525">
                  <c:v>11263.84</c:v>
                </c:pt>
                <c:pt idx="526">
                  <c:v>18519.12</c:v>
                </c:pt>
                <c:pt idx="527">
                  <c:v>61632.5</c:v>
                </c:pt>
                <c:pt idx="528">
                  <c:v>52243</c:v>
                </c:pt>
                <c:pt idx="529">
                  <c:v>352106.25</c:v>
                </c:pt>
                <c:pt idx="530">
                  <c:v>46796.2</c:v>
                </c:pt>
                <c:pt idx="531">
                  <c:v>159421.25</c:v>
                </c:pt>
                <c:pt idx="532">
                  <c:v>105353.75</c:v>
                </c:pt>
                <c:pt idx="533">
                  <c:v>107156</c:v>
                </c:pt>
                <c:pt idx="534">
                  <c:v>28795.95</c:v>
                </c:pt>
                <c:pt idx="535">
                  <c:v>2367.4</c:v>
                </c:pt>
                <c:pt idx="536">
                  <c:v>272888</c:v>
                </c:pt>
                <c:pt idx="537">
                  <c:v>265760</c:v>
                </c:pt>
                <c:pt idx="538">
                  <c:v>237160</c:v>
                </c:pt>
                <c:pt idx="539">
                  <c:v>35494.800000000003</c:v>
                </c:pt>
                <c:pt idx="540">
                  <c:v>8936.4</c:v>
                </c:pt>
                <c:pt idx="541">
                  <c:v>468072</c:v>
                </c:pt>
                <c:pt idx="542">
                  <c:v>14907.2</c:v>
                </c:pt>
                <c:pt idx="543">
                  <c:v>16841.439999999999</c:v>
                </c:pt>
                <c:pt idx="544">
                  <c:v>30184</c:v>
                </c:pt>
                <c:pt idx="545">
                  <c:v>313104</c:v>
                </c:pt>
                <c:pt idx="546">
                  <c:v>922680</c:v>
                </c:pt>
                <c:pt idx="547">
                  <c:v>272888</c:v>
                </c:pt>
                <c:pt idx="548">
                  <c:v>237160</c:v>
                </c:pt>
                <c:pt idx="549">
                  <c:v>15928</c:v>
                </c:pt>
                <c:pt idx="550">
                  <c:v>30184</c:v>
                </c:pt>
                <c:pt idx="551">
                  <c:v>490952</c:v>
                </c:pt>
                <c:pt idx="552">
                  <c:v>358776</c:v>
                </c:pt>
                <c:pt idx="553">
                  <c:v>567600</c:v>
                </c:pt>
                <c:pt idx="554">
                  <c:v>368676</c:v>
                </c:pt>
                <c:pt idx="555">
                  <c:v>5016</c:v>
                </c:pt>
                <c:pt idx="556">
                  <c:v>21700.799999999999</c:v>
                </c:pt>
                <c:pt idx="557">
                  <c:v>429660</c:v>
                </c:pt>
                <c:pt idx="558">
                  <c:v>303688</c:v>
                </c:pt>
                <c:pt idx="559">
                  <c:v>15928</c:v>
                </c:pt>
                <c:pt idx="560">
                  <c:v>22271.040000000001</c:v>
                </c:pt>
                <c:pt idx="561">
                  <c:v>51143.4</c:v>
                </c:pt>
                <c:pt idx="562">
                  <c:v>191884</c:v>
                </c:pt>
                <c:pt idx="563">
                  <c:v>303688</c:v>
                </c:pt>
                <c:pt idx="564">
                  <c:v>262570</c:v>
                </c:pt>
                <c:pt idx="565">
                  <c:v>21700.799999999999</c:v>
                </c:pt>
                <c:pt idx="566">
                  <c:v>83160</c:v>
                </c:pt>
                <c:pt idx="567">
                  <c:v>21076.44</c:v>
                </c:pt>
                <c:pt idx="568">
                  <c:v>16841.439999999999</c:v>
                </c:pt>
                <c:pt idx="569">
                  <c:v>33633.599999999999</c:v>
                </c:pt>
                <c:pt idx="570">
                  <c:v>44378.400000000001</c:v>
                </c:pt>
                <c:pt idx="571">
                  <c:v>28100.16</c:v>
                </c:pt>
                <c:pt idx="572">
                  <c:v>26945.599999999999</c:v>
                </c:pt>
                <c:pt idx="573">
                  <c:v>9184.56</c:v>
                </c:pt>
                <c:pt idx="574">
                  <c:v>26945.599999999999</c:v>
                </c:pt>
                <c:pt idx="575">
                  <c:v>29156.16</c:v>
                </c:pt>
                <c:pt idx="576">
                  <c:v>33499.35</c:v>
                </c:pt>
                <c:pt idx="577">
                  <c:v>33499.35</c:v>
                </c:pt>
                <c:pt idx="578">
                  <c:v>281053.5</c:v>
                </c:pt>
                <c:pt idx="579">
                  <c:v>545055</c:v>
                </c:pt>
                <c:pt idx="580">
                  <c:v>7690.8</c:v>
                </c:pt>
                <c:pt idx="581">
                  <c:v>299171.25</c:v>
                </c:pt>
                <c:pt idx="582">
                  <c:v>7904.82</c:v>
                </c:pt>
                <c:pt idx="583">
                  <c:v>6305.76</c:v>
                </c:pt>
                <c:pt idx="584">
                  <c:v>39237</c:v>
                </c:pt>
                <c:pt idx="585">
                  <c:v>21732.6</c:v>
                </c:pt>
                <c:pt idx="586">
                  <c:v>8760.4699999999993</c:v>
                </c:pt>
                <c:pt idx="587">
                  <c:v>210627</c:v>
                </c:pt>
                <c:pt idx="588">
                  <c:v>45953.4</c:v>
                </c:pt>
                <c:pt idx="589">
                  <c:v>47119.199999999997</c:v>
                </c:pt>
                <c:pt idx="590">
                  <c:v>801444</c:v>
                </c:pt>
                <c:pt idx="591">
                  <c:v>172151.25</c:v>
                </c:pt>
                <c:pt idx="592">
                  <c:v>5961.24</c:v>
                </c:pt>
                <c:pt idx="593">
                  <c:v>16418.64</c:v>
                </c:pt>
                <c:pt idx="594">
                  <c:v>20423.25</c:v>
                </c:pt>
                <c:pt idx="595">
                  <c:v>21732.6</c:v>
                </c:pt>
                <c:pt idx="596">
                  <c:v>108706.5</c:v>
                </c:pt>
                <c:pt idx="597">
                  <c:v>10575.72</c:v>
                </c:pt>
                <c:pt idx="598">
                  <c:v>52167.38</c:v>
                </c:pt>
                <c:pt idx="599">
                  <c:v>801444</c:v>
                </c:pt>
                <c:pt idx="600">
                  <c:v>7247.1</c:v>
                </c:pt>
                <c:pt idx="601">
                  <c:v>6305.76</c:v>
                </c:pt>
                <c:pt idx="602">
                  <c:v>8613</c:v>
                </c:pt>
                <c:pt idx="603">
                  <c:v>4280.3999999999996</c:v>
                </c:pt>
                <c:pt idx="604">
                  <c:v>679905</c:v>
                </c:pt>
                <c:pt idx="605">
                  <c:v>10575.72</c:v>
                </c:pt>
                <c:pt idx="606">
                  <c:v>172151.25</c:v>
                </c:pt>
                <c:pt idx="607">
                  <c:v>20423.25</c:v>
                </c:pt>
                <c:pt idx="608">
                  <c:v>180416.25</c:v>
                </c:pt>
                <c:pt idx="609">
                  <c:v>7247.1</c:v>
                </c:pt>
                <c:pt idx="610">
                  <c:v>4280.3999999999996</c:v>
                </c:pt>
                <c:pt idx="611">
                  <c:v>18478.8</c:v>
                </c:pt>
                <c:pt idx="612">
                  <c:v>44358.8</c:v>
                </c:pt>
                <c:pt idx="613">
                  <c:v>29979.599999999999</c:v>
                </c:pt>
                <c:pt idx="614">
                  <c:v>18035.919999999998</c:v>
                </c:pt>
                <c:pt idx="615">
                  <c:v>1685.6</c:v>
                </c:pt>
                <c:pt idx="616">
                  <c:v>1763.86</c:v>
                </c:pt>
                <c:pt idx="617">
                  <c:v>18035.919999999998</c:v>
                </c:pt>
                <c:pt idx="618">
                  <c:v>3586.2</c:v>
                </c:pt>
                <c:pt idx="619">
                  <c:v>41761.599999999999</c:v>
                </c:pt>
                <c:pt idx="620">
                  <c:v>22794.3</c:v>
                </c:pt>
                <c:pt idx="621">
                  <c:v>14375.76</c:v>
                </c:pt>
                <c:pt idx="622">
                  <c:v>1685.6</c:v>
                </c:pt>
                <c:pt idx="623">
                  <c:v>14375.76</c:v>
                </c:pt>
                <c:pt idx="624">
                  <c:v>20794.8</c:v>
                </c:pt>
                <c:pt idx="625">
                  <c:v>206658</c:v>
                </c:pt>
                <c:pt idx="626">
                  <c:v>109972.5</c:v>
                </c:pt>
                <c:pt idx="627">
                  <c:v>385968</c:v>
                </c:pt>
                <c:pt idx="628">
                  <c:v>260580</c:v>
                </c:pt>
                <c:pt idx="629">
                  <c:v>19517.7</c:v>
                </c:pt>
                <c:pt idx="630">
                  <c:v>29670</c:v>
                </c:pt>
                <c:pt idx="631">
                  <c:v>303257.5</c:v>
                </c:pt>
                <c:pt idx="632">
                  <c:v>670477.5</c:v>
                </c:pt>
                <c:pt idx="633">
                  <c:v>360899</c:v>
                </c:pt>
                <c:pt idx="634">
                  <c:v>60200</c:v>
                </c:pt>
                <c:pt idx="635">
                  <c:v>2335.7600000000002</c:v>
                </c:pt>
                <c:pt idx="636">
                  <c:v>10396.540000000001</c:v>
                </c:pt>
                <c:pt idx="637">
                  <c:v>29670</c:v>
                </c:pt>
                <c:pt idx="638">
                  <c:v>4472</c:v>
                </c:pt>
                <c:pt idx="639">
                  <c:v>31863</c:v>
                </c:pt>
                <c:pt idx="640">
                  <c:v>22484.7</c:v>
                </c:pt>
                <c:pt idx="641">
                  <c:v>30072.48</c:v>
                </c:pt>
                <c:pt idx="642">
                  <c:v>10420.620000000001</c:v>
                </c:pt>
                <c:pt idx="643">
                  <c:v>210700</c:v>
                </c:pt>
                <c:pt idx="644">
                  <c:v>22931.040000000001</c:v>
                </c:pt>
                <c:pt idx="645">
                  <c:v>354277</c:v>
                </c:pt>
                <c:pt idx="646">
                  <c:v>578522</c:v>
                </c:pt>
                <c:pt idx="647">
                  <c:v>169312.5</c:v>
                </c:pt>
                <c:pt idx="648">
                  <c:v>10423.200000000001</c:v>
                </c:pt>
                <c:pt idx="649">
                  <c:v>634680</c:v>
                </c:pt>
                <c:pt idx="650">
                  <c:v>69402</c:v>
                </c:pt>
                <c:pt idx="651">
                  <c:v>654288</c:v>
                </c:pt>
                <c:pt idx="652">
                  <c:v>17476.060000000001</c:v>
                </c:pt>
                <c:pt idx="653">
                  <c:v>655578</c:v>
                </c:pt>
                <c:pt idx="654">
                  <c:v>69402</c:v>
                </c:pt>
                <c:pt idx="655">
                  <c:v>385968</c:v>
                </c:pt>
                <c:pt idx="656">
                  <c:v>260580</c:v>
                </c:pt>
                <c:pt idx="657">
                  <c:v>385581</c:v>
                </c:pt>
                <c:pt idx="658">
                  <c:v>229104</c:v>
                </c:pt>
                <c:pt idx="659">
                  <c:v>305730</c:v>
                </c:pt>
                <c:pt idx="660">
                  <c:v>25542</c:v>
                </c:pt>
                <c:pt idx="661">
                  <c:v>22484.7</c:v>
                </c:pt>
                <c:pt idx="662">
                  <c:v>30072.48</c:v>
                </c:pt>
                <c:pt idx="663">
                  <c:v>10420.620000000001</c:v>
                </c:pt>
                <c:pt idx="664">
                  <c:v>10396.540000000001</c:v>
                </c:pt>
                <c:pt idx="665">
                  <c:v>24123</c:v>
                </c:pt>
                <c:pt idx="666">
                  <c:v>124737.5</c:v>
                </c:pt>
                <c:pt idx="667">
                  <c:v>293993.75</c:v>
                </c:pt>
                <c:pt idx="668">
                  <c:v>115281.25</c:v>
                </c:pt>
                <c:pt idx="669">
                  <c:v>139230</c:v>
                </c:pt>
                <c:pt idx="670">
                  <c:v>19686</c:v>
                </c:pt>
                <c:pt idx="671">
                  <c:v>20578.5</c:v>
                </c:pt>
                <c:pt idx="672">
                  <c:v>15083.25</c:v>
                </c:pt>
                <c:pt idx="673">
                  <c:v>848172.5</c:v>
                </c:pt>
                <c:pt idx="674">
                  <c:v>32627.25</c:v>
                </c:pt>
                <c:pt idx="675">
                  <c:v>4539</c:v>
                </c:pt>
                <c:pt idx="676">
                  <c:v>115281.25</c:v>
                </c:pt>
                <c:pt idx="677">
                  <c:v>14981.25</c:v>
                </c:pt>
                <c:pt idx="678">
                  <c:v>597082.5</c:v>
                </c:pt>
                <c:pt idx="679">
                  <c:v>639922.5</c:v>
                </c:pt>
                <c:pt idx="680">
                  <c:v>9322.7999999999993</c:v>
                </c:pt>
                <c:pt idx="681">
                  <c:v>4981</c:v>
                </c:pt>
                <c:pt idx="682">
                  <c:v>5100</c:v>
                </c:pt>
                <c:pt idx="683">
                  <c:v>36031.5</c:v>
                </c:pt>
                <c:pt idx="684">
                  <c:v>70443.75</c:v>
                </c:pt>
                <c:pt idx="685">
                  <c:v>656370</c:v>
                </c:pt>
                <c:pt idx="686">
                  <c:v>259037.5</c:v>
                </c:pt>
                <c:pt idx="687">
                  <c:v>9322.7999999999993</c:v>
                </c:pt>
                <c:pt idx="688">
                  <c:v>14713.5</c:v>
                </c:pt>
                <c:pt idx="689">
                  <c:v>6273</c:v>
                </c:pt>
                <c:pt idx="690">
                  <c:v>4539</c:v>
                </c:pt>
                <c:pt idx="691">
                  <c:v>14981.25</c:v>
                </c:pt>
                <c:pt idx="692">
                  <c:v>313862.5</c:v>
                </c:pt>
                <c:pt idx="693">
                  <c:v>58650</c:v>
                </c:pt>
                <c:pt idx="694">
                  <c:v>4981</c:v>
                </c:pt>
                <c:pt idx="695">
                  <c:v>631125</c:v>
                </c:pt>
                <c:pt idx="696">
                  <c:v>139230</c:v>
                </c:pt>
                <c:pt idx="697">
                  <c:v>8139.6</c:v>
                </c:pt>
                <c:pt idx="698">
                  <c:v>4301.8500000000004</c:v>
                </c:pt>
                <c:pt idx="699">
                  <c:v>18421.2</c:v>
                </c:pt>
              </c:numCache>
            </c:numRef>
          </c:bubbleSize>
          <c:bubble3D val="0"/>
          <c:extLst>
            <c:ext xmlns:c16="http://schemas.microsoft.com/office/drawing/2014/chart" uri="{C3380CC4-5D6E-409C-BE32-E72D297353CC}">
              <c16:uniqueId val="{00000004-190B-4CCD-A5AC-D8A18D1CEC3F}"/>
            </c:ext>
          </c:extLst>
        </c:ser>
        <c:dLbls>
          <c:showLegendKey val="0"/>
          <c:showVal val="0"/>
          <c:showCatName val="0"/>
          <c:showSerName val="0"/>
          <c:showPercent val="0"/>
          <c:showBubbleSize val="0"/>
        </c:dLbls>
        <c:bubbleScale val="100"/>
        <c:showNegBubbles val="0"/>
        <c:axId val="1737853776"/>
        <c:axId val="1600019504"/>
      </c:bubbleChart>
      <c:valAx>
        <c:axId val="173785377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019504"/>
        <c:crosses val="autoZero"/>
        <c:crossBetween val="midCat"/>
      </c:valAx>
      <c:valAx>
        <c:axId val="160001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8537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D199F0F-288D-4A44-8E01-8AB6428CDD1E}">
          <cx:spPr>
            <a:solidFill>
              <a:sysClr val="window" lastClr="FFFFFF"/>
            </a:solidFill>
            <a:ln>
              <a:noFill/>
            </a:ln>
          </cx:spPr>
          <cx:dataLabels>
            <cx:visibility seriesName="0" categoryName="0" value="0"/>
            <cx:separator>, </cx:separator>
          </cx:dataLabels>
          <cx:dataId val="0"/>
          <cx:layoutPr>
            <cx:regionLabelLayout val="bestFitOnly"/>
            <cx:geography viewedRegionType="dataOnly" cultureLanguage="en-US" cultureRegion="IN" attribution="Powered by Bing">
              <cx:geoCache provider="{E9337A44-BEBE-4D9F-B70C-5C5E7DAFC167}">
                <cx:binary>7FvZjty4kv0Vw88jNzdtF7cvMFLuWVmbXe3lRagul0UtpChq19dPiCqX0tnu7hnMAPdlYIBmnDgR
ZFISl2DUP5/6fzzlz4/6TS9yWf3jqf/1La9r9Y9ffqme+LN4rN6J5EkXVfGtfvdUiF+Kb9+Sp+df
vurHLpHxLwRh9ssTf9T1c//2X/8Eb/FzcVU8PdZJIe+aZz3cP1dNXld/ofup6s1T0ch6Mo/B069v
t89aPMrh7ZtnWSf18GFQz7++/YHz9s0vl57+0OqbHDpWN1/B1sbvkE8xQbbLfBtjl7x9kxcyflFj
9I56iGDietTDlLnu96avHwWY/zf6Y3rz+PWrfq6qNy//nxn+0PkzPKmKcP7tYTF1dLU2v+yXH8f2
X/+8AOC3XiBnw385MH+nuhz98FE+fn38PgL/+8F3yDsYdoJcimwfeQTRHwbf8p13DnJ9RGzieLbN
HP972/Po/31/fj743+0uxv47fDn04X/++4d+ox/l0/P3n/+/H3oGQ0sYvNIwvh6lvsd+GHryjtke
9W2EGHEJc9DFyP99d34+8t/tLkb+O3w58pv7f//IP8ikfv765n39WD9Xb4pvb/5TPOvk6f/wM6D+
OxtR27aJ73o2tp3Lz8B/h7BHEfGxyzz0h8/ghx7+1Svy82dyYX7xaC60l0/o4f2//wmdnvvkqfir
H/4/WxMIfedTavvYY8SxMXVg0j9bEyyMYN5CvjP9Q4z5BNaMeT2ap6W/78/PH8R3u4sn8B2+HPrT
p3//0F+8Hf9Xq/L/fxF/voi/7mZWj/Xj2myDztbxv9aa9w62Zhemf7Wbmh/p/uuvbymsAa97q8nD
Dy/998XzR/7zY1X/+tayCaw2vu0iBGs9YQSDq+7ZqDDDb9/IQtf817cefYcZ8jxGfZ9BbZoIq6KZ
VAy/c1yHwkbBcUBB7Ndt5m2RD3EhX3/4i/xGNuK2SGRdQc9d5+0bNfOmX8JgmvWQ52DmMIcy3yMe
6J8e72EvC3T8H6PXJWmjKvfB8aNnW9h1u0dO7x5L1VG+kmPRBQo7xdrKXPeou8I9GnUDa2m9OWMi
N4zqoTsynzc6MIph8jPLxtC4mGVPeWRtuboI5naMKnFk2+6XNvKMfRu8Rm3GEhG+WnqgB/S9jYWN
OCUHjXkgVVvroGmSZD8UznbIo+xKU5RdCaVfahdYZA11UOtiXBuF4ck2KTdji+LAozE6Rq8FaStL
bYzckjjZ9BNnUZsas8hohdxS6Ogq3ZaBlXddGcx1XpQnbkfRdgb9jo6ze8Pn3ZgfWOStXJqxU94r
L7BF2n7WQugQFxpdCY3oh5ok+17K5vOYInuT07zZGjGV1bojnv+guUWPUidXJe5uezSKo3CK24I2
xbYZS3GsBy6OVkftInCaHEqDFkPH3NCtRvYCnOkMoZpsbUXqwI5da0V8naUb48u04RlXi7w0ZWqG
Y7RGPPNYSS+0o1GGf81bzC7aMAqDzT/BtGTAWGXuOnerb0aataY6/7QzYCa4kQhF20SbNGtWjVO7
j2mr1KqNhL4io41uGcm7oG8995FF4yNRRL4fhCwPlSP69dAwcVXGXG+tPvvdaYS354jLW2ucCqso
9gllPDDYomhy+XvKI3fmClzJW8+Ni32OXB5EAxG3hmsUk1+/sPOADF60ylnt3g1Z4t7Bz9nHKrVO
RkpTVd+WURxUtl2nodBee/QS/5Php5OR7yf9tpNOFRoDo1CR7lYO1dZ68UtbWQdNLLt924r6Bqcy
pIrkJ6+u8hOuG7pN8PgFT9CCozwWZ2KJKA+xVHK98Ay5cz3SBcZVmpUhzDH6aBQLzyiLZsjWbTf4
HV/pb1mSDDJs7WY9tIN7w73Kuy+bKt4lOulCYbRJrG+ln3Ynz2He/VA39p40/hAYsilgJxoH0mv0
0YjR2NvHsa2fjEHhx949oYgFbsKqvWHAntU6pbQ9LT6q0SdhnSV4a7nQiWRg1S11o3BhMBl7K1Sj
dEPB3V2MrwQn9SGnUX2oEvhwg0U2taX4G45RG/bsZ5EvXCyiqf0pD9P8E85bf/0zmtL1S69HK/nd
0i7bFJbFrkxhYWVf9SzO28DIvVV/bPhAtxeUWNdZG3AC7Gq0qn3apoeFsri6wFA2lCEbGrRaFKbJ
RVxsWfmpI5odTSsLPDdtZPh+vTXX9KWzCzGzmir0UFFspVXl68HK1Ja0DnlI2PAilqzBJ+2UQyDS
KL/RzZjfMGq5V40uVkYyeFnm9uFsE/GTpRoz2Br8uFTD4RO7iNlwVHWo66Efl2ob+6ysbTU8yCL1
9hbLbrSwyWcXehO2QhZ3USnaLRLVcGhcmp4YR2j6aPoPXla2gRp6+sRpHaqUsW8sZyGKn0TOxJHR
lV3lziFKhDjyrBXHbIidIjBVAxrahWi1DSwbBjTqxdpgVgp+wLPykzGsmrgNS8eCfcVUtJnw+crN
lHdUls2bTezhcVM2/e/UxZ0OjGahz5wFHNh4V+Qt2hrKKMY4rLHGa6vQ77ldi0Nd6uomG+PqRk+1
CSeaiIOBTME4mXHDXyBT+9GPcfGKL36knfd2MNT1+3Rq0zAM17Q+4YPIxSFJ2z4kjmUHsPDLoyks
+b12gaVJ7RdBlltQDoIDHXaIQTuSYjWDmeV4oFLji6efyzPX+DZeDN/zW3/PYKdz7v61S4YyNzlh
vlBqHfW+DHBcJMeOW3wuGjkURWDkVMXfq4te+vKxbrtss0B1Qvjxwo3RXmDN1EiaEBn+zZfjO9Mu
9oddrothQwo7b49BhBM23j9+OkJj1vCRxg+OcJoh+jCMRITSyatmVRWoONW6LE5t2z400aB2FpZ5
tjVYVnfdttD+01iV5Qs5ylLew5avf7CUVjvjgLvc27BUlUFbRTYNcop5mDOsNpqQ6FpkVXStpprC
Sb7jPEqDqlBANKBRuyyFJ+0PJyNdujG82cS3+3xXc6Bj1meHsvBv0i6ip6hC9ISRjMfAok9Zhoer
M8hQvHFst0nb8KAcC3Yy2GJrsLjK3CBVMEUuitmpkYX8Wnh8uJqhohmtIegd58Ur7EFV6ERCHSOI
GWw9FA17n1X8prOYWtVlPn7qo+i27LvoGXflRpVseJSIlyGJan2nqyTajpoMeydPXoyyZBw/kci7
rSl+ynKa7SnRzlXGthFGxVXcYOfKIB3tm3Jlqh4f5UrEFg6NaDidxZ0rqx9UG7SeB3s8yfWq9fpe
BUwN1TFKs+GlSibZgFauXmoLFhXx2omR3BvlWLvV0dRmX0b+Q/WCany7TXld0QFtz0yMwjRVDnEc
9HFbbnOUq2tVOOo6bfw4TKQHK3TUqmvYgo50VfOSBEygdlN6LMeBoRs9/LYq6Os+2baxe1fHlt53
XZ2hQLpOfE1i21n5VkvDaCj6bpt4FtpHWXkzi3GS8+vKyVeDGNyjkWZjqw6HtBQnz82cbtU1zAv7
yNcrLVVfbJOhlDuexGUZr0Ub7yUc6Xjo17VeDzpzV7Mc91KvUydyViQVHQ8XucOZhtemQqu47b+k
fa7vE6shV6giONR5O3zp6uqLKHt936qcXGUYHjJy4+GLjJozPpxOzvhoLJ/72OK6XqGo2jm0hK2J
7X7OCUtOg9u8FDIqyi4wcmd17jopyDiLF8RFJG6tVpWWLDRmiyJTWHWBkfs6h92vUmI9g2fNGD3q
dRI0bR1tlq4sjhbMz5trv2cP0YjERnpa38YW0bDLz4q9r+I0cHlSzZjRJnl+HfkJOzbO2PhBlef1
RmeiDw3PQn7tB6O7Vx5DNzOl9jN44AMZ1sZzFIH7GpXxyXLHbYxTd2dLC6/zRtmhatTwxa/op7gv
0H0kaHuV0MwOY0Zn3ELeeB9LwBe+C3yOATf8Br7TMCaHUrHqWlpO9FuR7fzSpx/HrIM3LMlRULot
/SicVm3grUq3xCnZRwW7nQCjpH41Miwndl6MpF3TnbJIvbPdNBgrlsIxntk3iibe5xGxKixcP7rL
ytHZIKQHWO5i+wgnbrJpUkvclz5SYR1F3ueo7Pe2Vdvvi8Kx38dF/KWD2ePKQLmAEEimSbx2Jwbt
fHlTpskx5461cmrlbSUq9EmQqDy1NW037sB00CVW0q4MaKclD2hX4h2J+O+j13h7MSjPC8zhL50O
f8tBcT4twuHP8JZDoeGWfXTONdrpUMleD6CzOWVyb7jmPLo4fz2swhwI7VuvvBZZIL/6M4dUcwy9
8GcYuvSasFZCrjNXwBQ9FTF2cqjt9dC9IMwpYA4esxRm6ypSKLRgrFaLhVQe6Bf5zzwYj04EgRQY
edhqwVFXPEW0exisuD82MCfdqW7QdwuEHZiLJtG1aXfkdvoidpPBIhp7i33Xzu5+tMW4SwOa11nn
B0Xh7RI3b08dwnAIstL7JEHpPRaj3HLu49CIRlFabRYyZ8x2BjNFmnsb0Wfseoa+O1qM/tRRrzgO
65Q+u9xFh4Jn7jWLCgiU+an3JYn7NcKN89Wv6m+y6eIH6nf9JnFTPFM5z86oVhrN1MpOz6n50LjX
VWrFq6YcLrwaajTQfmM6kCSJ3sEa0IXLQWEUPAlEhfDaHBEyadtuaE4GZ6eHs8PGz6vGX6HgFV9c
zccSc0wx/sRSraqkCqiCic4mMK5RMZ563NvvTQH78t+aoqpOWZ3b74XnpJuRDmptlEI69Nrm+Iw/
pvo3XyXVKd17e+bG6mOm0wdEUX1LCPbgaPiRTKjD3Ow68goRGJJX5WJXuyxbc9moj7qj8cpuWm/f
d2Px0XPkQ44gQsPtwnsY80/GZuz6FxeNhZt9hSO9rWOydWnHvtV+vYNQY//IMxSHfpKz+6pohw0R
NT0qpb0j5n2zQbKw7q2qioKxce1HDeb+d/OIp8OlOfVGvJGNbwUWxC+yuIsOGJe+F8jKK3Y6Khv4
UqW8ncFXTpN64tbJB3lreJVumiBNAlUHxI8p3JUk6Lp38ScjCUTH606xT5QjMusmaWaKetYZiZJC
XcWE3+QOCZOBF9cYYsTXlTdwDJshT1xNCoONk2KhkDaXVx7sBcqcnOOGYZQI0TBxKTtBFgTzdejW
sPhUxKI0DnXH8BqTz17fqt8a2Gc6dhw95/oJcT/9mhewDqm+1e9bysgGBoEfG2YVp9wf5HocvTMb
Vf+el1X2NZ1smraodqpsEExOXcLHWx1nYu0zLjf59PZ1TitOMP1/9DKbvTcQxECvEK/96256YxMZ
5WtHFi/8OspnfuLZ0aqLRrKmqBturTL70E3vFWQWxIemVFEYT2+dT1q5tgc32RmtDa9d4GfMOhlt
0321S0keXl0Y1Iaj+gF2GlFobLB25Zr3VbKDN+t923vWvmtsCgemlp6kJM6qy9IxbHofzgEGNGrc
p+xUSfu9K1t3Z3ADGaUpBI68Q9nizQW+cBPSOauayDFcWpzbMfLk3Z68t2xAu1gN5QdUeWEGQRse
TLVYZ8VlzULoBeNweJi1iMriQ9M1X6hLqiPkxVRHuNuojq6s4UBg5Llq0K61ADVVS3WhXSC8N5Ip
Fhc/NzEkZFnVMU9ytSlLUe5i0lU38GOrm9Jp/G3hZzqgUV7dtHC0uDG1RWF4xmJRtKJ4sVhcyUr6
W6NYyBdtLOTFlWl8aZdimQYkZdVxwGsyfb1546YP3bnQtmsC262HOkmMBk8TgGBN+gA24yQUkwA2
i2ayEWkf6F7yEXbcdUcPvpUV1/loF9eRI/B+qIfbRrXF9YKbWt/6X2Wl2n0GZ/R4FfsNPpqCtiqN
VyxiaF2oSgZwffKiueTM9B/VQ6PvWYEx409F76R7XtbjIX0thj4bD3ZXHZRf9ducdLUIjNbwZpkk
5MXEsBf1hRvD+7mLno2NCBZzQzVi1pbJWuVNs/XtWIQaLqG2uZtZd5WwozuPZNeFQunJSLzH1W3V
yMAQ5MSyVfk1zkaVP6YkuYaJo4IoLLxxbHrP0qlWpCSGSaqnO6MwmNEuisLKBzswoBuxF3bfdRAF
W0AVMbozoimMH5oltwgTmPR0uaWeU49B7Q/uSU8FjZnYR85457DCPRncy9tmDIyskJMFSGXl1pDP
1JXfznYGU/U325PdF4zwxk6V/0ngzl63qKEH4cXkFunMCequFBDeJxuhXO+MYSfV3zCMD5oXTpD0
sMvUDCI8auSH1Jfegdmdd2iJ/VIbm6iXwSIbtSFeYJHsBhkYtSnI5MfU4mLSGHmuGnSMbBZ6NRfh
WbM8GWVwJr924wwzHOPirMmzbp41Z1hLYXoclW25yXP10eDtRYszODV75hHptVVXLMiapugDCAeW
p1olqg98y2kPpe9uDBYNjjqJpilPEAtwg9aVQ9i5Az7ZvodPyi4waNOwbHP/aPBmUnYQEBiCpIvi
A+wnDzxL6RAY8lyNhWevbYLd4MKXEU0higI27nBDsV4w48E0TKUVlsgSe3tsShl4eeMcTNGMQ7vu
RcYDzKkDz1y0LDTVhZOxzMY7A9KJdCYXnqfAneIdPMfJ6ey/TeBsOOhI53eudvShkkzflVMRieHK
xpl7ZSBpV/qu9serpm7cKyMZfGJVf4SM4YjT6s5QJ9Zi+Op+hlLl7ttCQ2gkI+g6i0gbwvaoXasx
xtfI7UYSOFzja5WuGbLz65HliARy0npZzzfxkKVhb0BjYtx4WtzH3GZ7Yzp7GbHo9tivPhjb2Y0h
Izh4BxjWgM1Zcw2LnFMDWzbTA2Ni3DdNq9aNLVFY4rG5agtq7yiEHg+1Ne216nbI4X7UbdUBTcUs
05Z9rxqVkY2VEU0BuRIiHHE3hObZueb563TQMsjoyFbugOr52Q86BnBWndPO68aHKTrDnm0QfAPz
67ToDXbWpJF7Hw8rCmkhYcNRf2sKh3N55VJ1ZaTYKosoYE5zR4QH25YyElEg0zJbC2KjlY+QjAI8
UHHlgwkkpYDY0z6/anPYrqHC79Y5d61boUV812RWtHGyrg4NZgrWOskBl+k3IxUTzYLJ85RDuNEY
LVTCvki3ZDcLs5bxPbUFOS7M0opJEHlS7QzNKBB8DyvTF+PfKEYurD/ti05aywoGPc79qEgex3Of
oQ8Mx/1VJDy6Q2ktZaC82Dk0hVWwkMXMPjhTMToRqEzVd2zFwjpv7cOZgVHNsqRcbQZbfDTYYJzO
mktXs86gS3HWlGl/7orplSGdNWo6obXOwt7NPlYRlyvcJ+Xnekh1EMFkcxOjAlb82n8weF6247oZ
fbqrRqQ+S/mtL9X4MS61c/BjKVfjZN1O1rajX6wxsR4MvavwCHu6ezxEMqwdKykDuAvrjtpUUUSm
CAnIKoPgiGhr0A8TuGj8nJGtGND1mUmdWDgKF86l9ewo9yHVHnf5xqhNM7NikZ0h0TAXTC0uzb62
eNbTcuDVOmqwglsxCvcOjSqPQwuvWEBKOMzDJd3WYLKKQfFKMeJSLBRVlmC7yBecMvX7oHBSCGVP
Dk3ho6ZQwVyaFhbV4sdOc7xOY15ttW4bBlk9cInEJSm3wq+4tVLRGK16StPVrKcYpzeOn3Q7D6wC
ziGAv+og9HkisAEkXINWxdlNlTo1C2Q77EYCO97ZOFc5xAgSupd5rQq4HnDhpo61ODmWwm5WjmVN
dwYT6KUWEFqvzPlGGfJsMpfIbgTfzMy6q5IjyrqvVBBvnfUQ6TTF7GHm/NFq9jDjxkPrrLLWw4fz
5s+N507MHTI9zuB4sRqtbCxruEGKxMYf7f52tFx5Ska4LEj66QWoss9tGjUHozRFlPZs3Wudrjzb
golPi0Keerfa8mFIZgu3qxMY07x00BplFdzr1KlYx5liwdgxfWUKD6LqV85UlNpralgIoTprJral
cxaILunqMxujxnXb1sFsPjF5BcyfO3p1OTtHfj73osAFXftp3Frvk6KmEBWN4J2GePm1OxVG5J27
ceAGAhLzxhfI4IRQsWm6lIcL1ygMr1LOBk7+7Jhm7Nn3xmhrT/tvnvjuydQcp8Qwe/bFZlEQs3cn
peoOJOV7iFXCPr2advFz1dgMFXy4BiwnTe+JXWklnfW+6tP0pHG6w1NOxYgcfCdjDlcKiD60fYrv
SJnsiJb0IUpafMdAQpMUpyBNusXulflq5wn7KFS+FpZK4DKGC/tgCttrXmq98NkZpjjKZGBAw2nc
DK8ruKQKiUubPkA91ScZdfYRzg9wJgPJQHqsX2oLBnPeRw976c5qeXUyjAtaI0uyEk3Zh0Zx1sSo
ik+6cGE6DnTN7lnK48Autf8hwdYAwSYxHphm/nVPPQvWKWp9oUjNod2Fm2sxwk2GP8xciTsaCvco
kra6LevUOrSqQesokuqz19E1T0fx5EIWfvCXjMIb/EDlzp/7WBhJ7cAmvOpo+XuXqhyOJBaBkUvg
BgeiUg9GjOGMGrSsJQ9NruiltkYQMlvIehIXstEuovGsO0UfHETIcbHNvo6+IBvzoi9vu12xCpZ+
MX8xFx+QnfA2SMpCbi++oCrh9YGK7Dr1+vQaMi4dIorrWKS/00zUOzSiDG0nUbh1veOOn6OtPcS/
40nbwr3YtTPmmq4mStnAxeMFZszsoYDgZifaPnCkVW/iQvdwJ1nzDY1GHHCcaPvQDA7fINXhwKjT
PF31XuW/h3iktyr6zNmZGzDIHvrgw19w3VZpGn9I7WpjYJ1yfqQjpAkZ8c+Meiu21xAIS2AqaOV7
FwLoJmRTklS+r+JhujpRdlC0kMOFbYuHnePAksYS6yQGFp3KzHHHoMB9vcOo+2wwUyyUfCL3Q7vJ
Wjs7zgYLz1Y+ZIGWYlwt2GKLxBDtUe9ezWYjtfJ9JfwbilN+lSgnvmqSml8ZccZyuMisGaoCWErP
FUa7kH9mC7kkd4Ul2fZPTY3V0phxF9mut+1pc/tTl1MnDO1nppntQggdZp71ol26aNVOtXJQUW3T
smIr6qTOFk2zKLN7tmoaz54T1YzWiHiaORfRpLEt5P+RbS4T5yCs/FlSN6uepUPIQfTaE5DWrCFz
bLR3Z1iFLALpjbAUjHAHUdBD2zLKasi2ATOeqDgcos4L87yox88DxAnGJD1FsUv6VU1hGyUgU30j
UYtOqQPJa0E35OhkZC9rDpJB1MVAbueOM25E4ecQY7BneuOn/YulUY652+1p4Zx+Zmkc6WSoN7yM
YCLw8iTktHZWbmTbR+S1AvbPUxUyqc+LBVPVwPclbrZjm0gdLLyFMrvhfU/2soSoA+nHE4ol3L9D
qvEqqzS/Sd3+HpJy+UGOnYDQyYSNWeyEvhOrtbYwvzGYKYrWdrZebhVwCH9lWxSGhLcQQcwjJ95l
rL2PG80Pi5nx4lWuHRZEqHUlW7xqIZACyc6u+KAG9z3chSXXRipt3q54CanMRiycgu3ho4vDijbi
A+tpfSfadoW9xoWsyQouwH80VUOrt4bbNvG5KY7Txpga5WvLg7b4tddJ+QHiYM3qwhzBYje3TCdz
3TdnLftN6W4yS3xpvWw4moIlzUvNiAVx++MFZkTckyd7ZGrzp6ZxpKa0rlfPi3sdJeXf5Kq58Icd
55lqsEsgCP6ImPrIhb/29C8z1coc3h4mC34/r6USstzWsY+/Kd2zL1PFsxL2JaXsW5Fw+0OG+mFl
D7bcVySm97xnYg5z1lrfxD3vfxtrp9xYnd6WpVKhdFl8MoUmTtoFFW9fZCfRcN3CcxVmOOEzZ2Ev
2MKL4qFYY6fKw9aHyQvOpd6mrD15zcySZqouS9qA4fZF00yL4qyYltJEW02QsH5l3jXzJmRta185
vf0E19niw/zmlR+1T/x7IxDR9wGJS/dgRNH5zabQbr4usLZgbSriXT7lz5fKreAPE4Y2TE1KQzxl
4SvdrQlh9amMPH366yxDx/7Dk4Mdk2378Bc7nu9Q7+IvacrELdJWW+2dVRDvqrPy5ADrpYI4CXU/
KmHtaTyIJ5pVfQAvAd5wVDjZCVYMvk4r937OP5AR5MQOhX0PaW2QnUDG2Du2dnXHMxLf+rzit6ZG
9DiErkTZJko4v/WmwijsfKVYMt74rZdC3kYO7XSulnAlD/ZOPWReEJfJR3scisMsUodbB7hgujOe
3Kaqg2KEFd6coZDl11u3ba1gPkMpuOm/Sdv9fMBi2XAb21Cgwm6Dqk/q3UwzZlUHDyTNCESo4Hjj
3LjWbLbYksnMlmW9gyjddEKrISr7108Fu5ePBW7hEXEQ3C84aPoL9ousab9HokkY5Xf52ECaVdXU
TlBlMj3YiD2oLIXcJ4NB6I9v+7JwgwFSdtN1zTO0clMHryROur2XcbtMNwnLh9C2quRWNL1zk+RB
LCMs134LCZOW1duz0jAKiya3NIIAhtdGRwOZgkZltMshShcYceRJ6QUDgmQ9MSTlbiFqJehVROkW
wnrQhgNvd1BkJOwxycIoLeRvcZxArfCK3+K+hz/zQKX+DXJOEogg9dVv/ZB99alemTSYbkqI6Vuh
VnY8WGsjGoXBIIPOWs85L2zUasUI/BHI/A52mr/YGLpdqepuwS78xJpZa8PLC2GHrSNKuMAW/aks
HD9s3KiEREGvO50VRdfPoqFwYpf/xdqVLVeKK9svIgIBYngF9jx5KrvKL0S5qhvELGb4+rtI3IXb
XbfPiRv3RYEyU4Jt7w1S5loL35hHUAiNnfoiQXW5Ye8zOAQ9XKeggf0894eBnRqPbjVPHtR4aCkO
y2qxk1llXfVkUreGA5BErxf5LRdBdlPqKUczOHujlj/JTg3Zo7IYT2mlHlJNsQ3XDnJxZsz5I0K9
0G2UMt4bc9680yr1WhSRerULoQNROm0/2akbGPiItlJ1Pg2gppmH0lGosY2s1eCk9naMTJMQrtVG
weTKaFQuOQAj28iWNUCcObpzk1kM7np2L1Y6/OCqZiBoIyxrS8Y+Rvmk6IPEU7A6fqglylUtrwds
dXr20Nldeu3G9tTVyYRKY8O4XztSbJe+mUqvMcLujsb2Q8H3cpwUV8qEPaSpVv0H2sNngqKtaZpq
govjgPFtajYHxfgjQbGWKnZfecbv+DgOteZ1oW2cq6Hij07Q1L7GonwXlorxWFQaP/UmKtbkJVtn
hFtsqpLjAFQiBsdDd2BDVR8Iw0agtUbX9UPSDD8I0bZi2/AgC91JDSJfSyZTj9yxn++jHdKLTAnz
rYz7t5DNiT+ydViklW4x5wTtYZQnOqImCae/PKuRYpAVy46owG6ZUOI7qpULRcFGUyZ3tPMK0SMf
VdgVM7ppgJYtvrlXGwbf2RYAGEpiOrhHKf1erSv9amZVvKlMY3jKc0tzcQdsvhdcnqc2tZBeiO94
KLo/rWB40XPd+RqoyPo3MmkfkMlIttNQKmfsO+P9v9+MPzNY5v+ladumicLDTICdJUY+/i/DepRN
0QTdfW62WL240RDcAKxhm8CO24vBU+uQhU61r/K8uiFFMPmMZ+mzw5XUdZy6/InFptcZqKa4ep8f
i0EA0ARkpqtVg/kYMgaQwai+WRZvPdWOu03vOPo71JDggvj51NJP8gjfirA4LlBEghoueMQU0MNN
CK6oVHrneyGMTZqkxbew1dVNGjfB0dGU+q5zAPuLlGHwy2To/EHkWElV80rKltNwltF2MWXzYku3
nv/9r4ir/gdp12AgwjDT4LpjMhCJ//53zMZKlLlhhy+K0vWu4PhtCvGFUmda9aHzl4cSZ+gkYCV8
oZxaNb6HDYm2qa1IuqBuFndNhh+7JrLCq7Qm9QMjiXeZHKLHpjFz8lKPSyd6RG7yY0RSd0sEOSms
18fUz0xNLHPQGYpMx9dxW5qgAQ3daJ/KALCGrU1cIDqMZLgTup4dsswaKte2B8vrlFA9jF1g7Dtn
st0u1trUK4Iu9ng3VvuG+p1yjaVT36dODxYhL3TfkmqJBzSgUH0ZOLsRebWNPqP1RFhaHgt5eiRv
WvOHURFsk8cV9/Iush+twsk8OypAqsyY9VjKMDs4bQ3WyOztLRE8KO2FfGRxClTUyiLqj73R2I+2
wPk0ULa8rLHS2xiXW9Aq5bFF/uaoVLJO3aXPrN8ckqsCE+pIR6PgVepSfzns51kcmoUOadbEDsCg
rEcHOzol26tyUt1aK4w7OTdjovZgEehe3Dn6HTVZFrkgYIAdmxbFuRSpc+ChHR2KVBQXpxixftaD
+J4lrMAWIx++oF7IQAUt2te+ap/KIXL+sK3MS5qqBrfZCHes7W7CDGvUsVl1X9dhfVar4UY9aCqh
Em1pFZnCX1G6U9ZnHQM/mX4NNLRGP8tpbAAGzLuNWsvsjBV2fBkN5vj11HdfWZtczFozfyam8hA3
Q/ayhso5NE97B3vZoPsa6gJPzdT6Wc07itxOrro23aGsUl/MHpsCjWfmrkqb79Rb7XWRN51fKm5v
TmIJVaeyH1B5wVCKM9LhzyF3qt3QA2rrdnxU/KFrk22H8qNn5kjimmUvwIt1Yh8l9e6tkaVbi6p5
xU5AA1LPRIIjy8SDEwPUEQHd9obS+VclB0AtBa10bxettTWaxnkpSrajgHXuLjFxYaXxH+YGBhmP
+1Tk2wkqV9smtkClNbL01trJdMZOskW+UmFvZu8pzEjfMgf7winunZOdmc4tSfrAbdVAXPNgHDcV
B34/m0oN/Dc0dEQ2arpR8sz9XcyQJu1hqvqbnQXaRrUA5kujMbrKnt/3dWg+kqlu2H3VZeKqgOX+
qLJU2zTCgHLA3JVmHoEPYWFvhF5R9tOxN4OrXQu1dbE49OSYaqCXhk7hQwwA2Gy9YmdLdNPizjII
BixdcrNUb83tPJA8ZFvcyxx9jgyuIhTkdwsUpHBtr9BywiKuYc3FUYHLqLAY9pOW9d9KVuzqShE/
laDPXF4M7WOc8mAn1GjaY9nRPrR2hi3THPL32dRaaS51qE7nMEkCP2x59612yh0YnP1lRC16l3b1
fsJEb8B5jx5SfwEgrfF4NblWAsk6iLcYAFVwvIZnUVbKbsr4sHMm7Ww2DrvUetOcR129yqzBsrir
JnZJArEHq6m4j201v2+mLLwZGfMsVr2bYj2v77BZJT+2ebiftf0+zjhSY5Fk/FQ6uXmiI2oUbES8
IYxifwRo6YODutyxfmiRAOXIaqxL0ma5H+d65jPkry763JRRisIS9S+TFlsXiiTXGkQDg2TM/DYR
9vsYCuR5fqpl8zJy7uZGV77FvBg9FDLsW5Ta/NCPIt8po2o8CgU019DMzZ9pZy6xIfYaH2KFyept
C1pUHhVHwBWHCzVLGh4brNEFAB5AJHjJRl4x5/Aj8na5GR7HPlvGCvAUQB3uA+xNyBMM5eLhojoa
aq/tOBZJRxlZ8hgA/jJ5dJgqSsk25KJGTRSZukuoUb7Hr+4P4UtkqDhyU7eoa2Lb2jx0ato8qFmc
uxZPmyN1k6KN74SpetSjpkrrfGdLpCDbahQevn0KcDHCvGk1nqspxETAoMLiE9D35mwnuXjq0gbY
+Sz5pqOsPQTFBndapEGgtPcltsqTzhTz1cD+zw+ivjhNTOiPWiMfyc4AQvLSou3PTdjFD41Uf/A5
Xi2V3AP13rwENsDOxTCX9svBfO17obvRlOW3IbbjW4Y7LGDa1kOZFwe7kwFYOmF5UEftFOthcA5m
k1WowXnt0hHZwCc0naxeomg0xVOzRklzBEherfZkd4pKP5nZtHEUY/DiuhJvgdLtZdUWL6I1R9RR
hmAHVvf4bEXBUWTVrg/1nalnbfYjfgmkE5za3IwHPHWiTdJh+aooJt+Gjt2+asV2cHj6XVOHZBsL
Iz5gFZc9J7I6aHWRfTft6FFp5MVK+h9A++JCGmY8DH2Rnp2h+9ZVEX9o5iYcsWUbyzbaVqXiAwlq
Vq6mRMpJmYxgacLIgZH6kVLHmwwFcSSA/nJ/DhQUDtp5tUsN+SOOzAl4R7BabEIY5QnT8Nu2TayR
Z3ySzMET6EBjnovbG4puC+uv6KnLtJ3CQsstyqgMXP3GF1w/LsLxEixZ/BXmvzABWrX/h4f4AMQM
qIJRYIVY3WishaKwivXn3+bKyyBkyL2DQlB2WKNR5GLEbV938fh2DkHdbM3OSn+oirBcPozTXVcx
fsxyRd/oUIX5hrviljClFBFYHMT5oDiDnNg8lB1KZYBGhAemK/WDyhvlHnQdPedq6uGp0O4z2QuP
nL8bMM4DYubhEaFeBqQlMnNoznltNedp0lHYc/QYJA10yUENmIDt0l0d6RzCUlNgAWLpWI3/NQs5
1m5vm3qD4gvcjBcnxoSzX+db42hYo7WbvhvLS8XVO2j59KcFW4aKSbTRi1D3CZ5mW8ALqxPuKRV4
xxszieO9AymSFx4kX6Mi6u6Ykomn0O63AXOsl8xIVGQla9Oz5ihbcuSubIcdyIti7CmIEuOhmkLt
XnGmO6PW1WfGbSjS/L0+AwWgn4wlzbYtYnOp23yo4+Q5xDq2VKWhEk9vyJ+RNUDOaAweM62Vu6id
4hYVHdR7pqkM6q0TFe8h9lwO0nWz28dyOoXjzCe29NdSAIARzVzkaDJyZ4v8mXmegPL2hz5q8SzM
oMAQ2e1bLPAwJy+AeGDA9eVrAfrJMnaZbvHSiLawb0qpxzujHfojE1p4AIjHox41PVRcjnQUZ2a/
HP3OFs1eCpmwd8ncGvcgn2lN75KxwK8+c0Mh4VqOk8I6yrYy93FnTWcjTtWzzaJnUwuNHfVWuzY7
P9mq0AS1ETAOkOLhpeDOaN+PPtnMsRpcMDW1zSfHeo51giJRYs/SdO5T8KeTjw0I2+BkbsGwr/Cw
S+NXpHAkmGBTCiyxqj70zPmCckPyOkqz8xPeWccs1Iy7Mp1AJLbSg54ab6zG+gnL0vduSVIP1awl
of1lM2TfA/g+60hwY1qG/c5GuhCLIEUKdRoFW/etCbjHJinSZvmdjJUcsUvD30mNxHFBcTaZMtzV
Zf9kQUvnRD8namgoJKXeh5ItUAz1PGAVQoMKiITskqibvAKb0k0MzM6unFm0kzEI3GQN+2oDlvbc
1l+r2WwryDIL3eSuWQn9ZR1EXWTnPg3COM2R7Pghr2WzPBKHTho/hxJAhSUtRsmuT7kwpBkBgXKa
wf/kWIOXwcoM46PE2pIzM5xy02Rx5+kcXOvSSPi+6Gv+lDNWbJ0mV4Fp4fxJFxAcQLm59Khbiki/
WKH9jWIZOOQPVRog94mRS8DIN0Em+vtlsl6NQDvAn4O6/x+nanUvtBu2JGop+7qkcSl520XXInGM
wwfTr6Sursja71gT+zRqbSiYJ1hvgpRwWu2cksTUF2W8TLx66YiG/sgiADvKPGuRmEet3tWhWXUN
p8I5W5XAnZrr1zYLQt2lQ9DbBq8vwnZDccuQJLGdswIxArJRHDUhwGRXEwU9L8nqdvPJ0VXjh3NQ
bCAw4NN5yBE2zWuoNfEVeWHLrUs+nJcvq/ZnoCbiWZFRfLM6J1y+tJVqDzsj0K0NReFh8rtBIXK2
hyLs/6gGrGRFHXZPbDSMi2UML0DZdE9AB3ZPlu62ehUvnaqv39pMT2fgYPeExXvhx8jB7KirISm2
p7kWL2CdNBf1aELMlcZG/ETnypLurbMr4Mc1ZxdMpeRHhstWddyaFzUF7qdgJD61loEbRdTXh7Jp
ky99G4UbpkzpLtOj5EtnVOaWc3BW04jFXyAqp+y7vjYAgUZXtdvuBKTJ6FJXiazy2ubtCw2Vhtbd
I6u4pZ4dguo7bCmOToSk7HYoqwICR+I4WX14Z7Q12Fkqu4/sgt3HlmKenSK5Qs+K3ZM9aPPoCAJs
6pKNwnAzUHe2YRce2RJe9Jd8Co7FWNj+hArippxXSOq8LhoB3irLzLmQqW3A/wQ84Jl81NAgWxTW
hroohNQPEeSdRGLbl7HtnYuA1B/ysbFdTF6XM+zpzVB4pYiBKpy7uJLoY9dOhFdnmvYliNn131Oz
yGf/vQhs2YbFICcMnRmDcQN0v79nZquk4WYa99Uz9MfGjYH6Jh7/7dfKEMO+yIdqW0htfC2x97d0
q/0aKGa/50xW21hNplcT8e2v+NX+93g5z9OFxfja4Pn9KZ7m/3Vemt8x9Pf4eX6rtBIfhdLhUGRV
fo4A1kOZLiy+lnky+X3qDIcE1PWvAy938WCnT5kphlvlQOWQ7AFLxm2cJVAVmUdpU/nd6jV515Vm
8Rg1w3GYzTrKcXtjxBeXugpXLHfoSwfbxKJ9QYqfBkfRiJJNOFS4X+CUUKiqfFB9VeDtmX3Ewku5
UCPLwjwlNWrbv0yKWqHoRf1+TF6jPgbVdvZ+cGj4R2wm1pRem+jvUwE/wDyeY08QqioWq3wq91On
Zy9cRaamClpxRTIuf8FmFzugafgC+KN517HygcxaF9fHEekKVFzG/CUDC2wj7HAC9AdzIP3bu2EW
JRfyVkniJ8bPpOrY6QMmYsFIuJZSZFdGGEKgweeORZgIPZO6b7gCrMyrRfjB3w0oZzyhrIw/87pr
FBcPRCj39WqzESDvohynYztWBIbmpkxYd4DDWlioB+FFq5oDmeLWRhxKMtCvyxi0Zebu2BagKlcq
NtxjhK7TWHcUTfOXndlsVtt6Dpqe4sJgiC6ik4fVRAPm84ipZ9fl8pbzQFBmuRYKtqx29PKmusZI
QqWlU51DlKLP+XzUghLYuNRPzREgbFByxD5C4BqzDiHbEvxrmjZKACdWy2XAh/nWuBy1pqPdNb4e
FZPtaTXEEFVw7lwT4i2nUDWSEgJNYXmiJjfG96Ouy+D50J9jlnAaSeGQgipPQ65uIblj7D/ZKWLC
FsT/9/sRM/4hfMUt/FQ4lsM2N7ntfLofCR41mjMMwZd6lnGuPLuI3/hUWVjWowxAlQExKuqmhHKE
v5YGnJI5x1EZnlcTHZXaHw6+QYCA/FVEAEYP8DiakTtIZb3XZuOpbndGkeQ+1WGBfLbvhOP45tSn
lSdM6CQABdidUOHij78LBpjINyg4daqPwXl+MFqU4pFARPliFvigRkgtOeKZ+W4jWEJloPKLlzFE
LqmBfLJRlxw0luJoqt/Z1rF0jr6I5IYDpuW34MBDegGQ8zlPWVDiMp7zmtQHqCT3TBRINtSdxtSY
/MGplyEfolOjByuWwh0UPzfIpqH6Gc0T/f0MNPcy8NMZlinICFWD93GYxqMhXaC+akH7pseKYflN
Xp+bLkLWfiYUrDjpYjKVreWAT0k2aClE76SDdpDLCHMEytU32iLcxSbwmfhRC3s3T5iVUjtymh86
neFunWeZrOrbq6hBrwPPMJUONmV6Gz1SU6jyDFR2daUeRWiK8R4hDTN67JBY+RSRtfXjf/i9aMas
BPd3pTgTZSPDAujA4NCK+6QUF5mBWmPN2zyzDqzXvkvsE7ZGL9A6DHdRCg3kQEO+4m1kg7kLBaBX
tcY90LKqjTDU6BFlreRqdcOFeoNe4MqbtPACcFb2ZLPnCKglLRHMCMUjXkyAGy5QG/sAoLDT+091
9IY0tq+BtP6skfN8aYxG32c14L/UBbGj9hWjlQfs4CEpkvSQxkrYjSU2f5a2R1ZTa+zrqLFlhgS4
w71lATFMTprBnjJ5SEssjGsI7Szw8i4A40bGmeUt6HPqZ6yzPMput9oMWG9DHQgD1FLqmVUdi/SU
6Ur/oguJam7UWgc9jq176Oe9R2QM2pK6Ju71Wj228+7WGCf9oJXyT62M43pTZrVfhljyK8GcNeRj
pHncmVWY5+3xMDdlXumHMm4+j9Cyfvv+V5saR+6UnCm3zlHKs5pkh6pSghs1ZG+QkUL+WVF9so2l
VBZvEHHQWorwvNpt0OWPed58Veeotus0z46zDHqVMt11PDa9XLPkg54k8kFNeAOOlcoPoKbLBylG
VwsKdh1TJbuDuJqF5HTc7oKcQU4lk/kdfqVIwprRmSJWe5MMlhvqst1RWNoOOqoA3Nw0UMPw41rD
arko03PeRDlqt475tcKDtHPs+OeIHKs7To14Qnlx2jXGvDcQsXM/SB1sijkkcWIvDMz6O82mZbVz
MbUxPeM2mW/yebYSsyXYef7Uawe30yISTylXkPDP5E+m16+dkqe3YZrYs8BXJBOZ8ljUevg0McMr
2ow9h85Zq4fNhOSpP4oR38C56ecm7+cEqcD9kHpDbl+VyX6PSLQkRn25TfeLF8pcuhuGICSUAtV1
moA8QomewB23j/Qc0kCsUweUgNanUik6QOqSSkcVwgwVF0lX6ItyYPeYSOa+wovzmAXnpftrGqc2
rMtiC9LKdluT67t12ioPQFExlZ2G0sh9GEAlDPRu9btI8q2lhMofUxTf550cv9Z9LH3ZNeGtcfTp
0ASJM98uPw/KiiH4w4zS+8YYocRWmczcxWP+Z13q1YFKNWGHLZviXNaqzGBhaTfUuKmIFrwXz8J3
zk2AAMUXMt06eWrc8A8ybnWep6fAmK5YBhs3WZv6Yh9Q5Ns2Wth4q4O82CeBPZwGyodJyNE0fD9i
fXteJwejn59BlNxSwDpRL5FtUrpBc9dYCmGFwZCCHqzNJ0fAmgcbu1v89P66TNzPhiu3v3+aW41w
+4oFpDPDskG9gNxR1Q4+FuqzlOBf4+njT9L+o9Kr9PDJrsZ78CTj22ouFZEeWZ09ryaaQaZmvwkt
2/nwhyJHZ0IVvzOkuVtHLB/S7nyR9vKyfkaUYLVTEUMjcv6frHa9ClUIL4Xph8lpDiR0U08W9fT5
vzBl6skuM3ZaJ8mA7rxAY85f/1KoG8RbmdqJBzVV7WIHzne1TcJ9VkUG1K9nW9QzHFZfIVHTX8jS
R7V2WSJ4BUlTKJN+JRu4tRq2DHY2+lOpFr7GO+Ev42kg+f/XE61TBF/oZGRYroEuZG7ohIBIf10n
HMq29xMnwm3PKZOLFFhkujl7jpwZmTWbdGi9iN3YIe9ams0lAW2v8WMRJpesi4Ye0hlBtWHAarsf
XOSnxsLv3K0Srm44tr/vI1d3Z4UnCGMNh+XMzGiwrSO3zjIdT7F66aWB44E39ofpGOmObvr0IJgG
e8NAJ7u183Mg74riBBBONcljKctvcaI0d7FTvDcqn+5yu2zAw/zLPnR6AilICys3CpsdqaPotwxF
h9nSh1AfG+cmKIFIcgSI+6uDzlTw6tt6Ehown6kNJ5zp18lDx4FQ73wmmo0cUWUhe15gj4W1LGqi
xfSQCmd8gObCsNGDEJB/rr7bwmg4OAPvrxSRm+N0xEsdMpe61Awhz7A8auWeRtla0N+X1v0aAP56
uIP6f+ivNqPTXlgrijOZlAr6n1mRPFGPLqgUyMPZkJ/aroNiO3fHHGIGZOrwjqE9dFggDDBfPI3q
JXSSnDzKjmRLAiu8DVq/W+dYP+P6ua1uPIi0+/gZMwUqPeuogKuZpztM7mmUAuzbPW7a64lLpoU7
JYmiD59xiNUPn1GLDO0suwMgHNJqT1Xxg1uPpgaKdTBXYSHhwCuAmQEjp75ppwGC0K2SYRJ+Vjzh
5T3RCdBv1HGXaApsMd9e02sOogGbnmoQ/MaqK++iqO0eG/zOkAOGTg51HXNSb6ki9hnkNh8DK+oe
8TQEWUHn5ZG6TmTxQ9qYhguSrVN6amZtWJmUd0qI6VSAQiANqiGjPo+l6ewy2ZOTzkDTtd37BdU9
KExUHQlN1AmtKA13VCdZhLXFL2M/dl20YWH3HrRUY5KWS7dYxNVYN0L/+9rbRrQjzoqV986hUZv9
ym8h+0pjWcNsiLR9sqe/WDIUJpHwO2Bd+SEMCBJgPmkYnSJpwZqGNFiPdLpo3dy24yPBkItYnfaG
WXYedbvcZg/4QtKumCxIbOhuAJTzESlQ7IUd6x/xIn+gUGqEUUI1ep7/d/GBBIQb8bSvXuaPgLik
67HNKD7bcfzQxkZw5DJl3DONEqJwEJ+1oIfx4Rh87uBITT8HJ7wdXSnayf8Y9M/jPAKZhIZ99K2T
LSeKVAsnjanFjvMNj0HIDFomBK1VqZ14Ah0DrY60pVF/HZGNvBT3qas7hXRjnUFbbB7xuzhy/Ps5
8GaZh1EmzY5OW/PRkC4N+y8ug+LKGoLAaakd1o/xuzP+zkanaFTILDTx8b/4EGtIVab4NSwfOdan
feoUh//1DDSMmjAstprayMM0v6qHzU09v+InnDe6YFcfm0Af92Qi56cwctTj/DKedawIbLmDcPDT
4v013ToLHdEp1pB1+iB2GjevtHqzeGn6fx9Mcxkq1C3U7LZeyaerXU9BRwaU4wBPq+2tYNGON3Zw
pRoEBJPlSWPlzw81CK2DVC3ebrRdbXoT7pIwV343qJCZ4ik8ttzULIdLPjcGV/pL0SDxzQwgveYe
hGCB/Okno/d1o9732vQF+uzxXawW8R1e7VNmvbxH1lHeJ06u3glI2swdMpdjn97LU/UrhKxN7zmF
7txRnF5Ocss7PJsMABs3bWRMLiHSqUnmW1yoybz2f+eWxA4kTLsV6/EWHAaU2kxhb+06G16mqD4w
q2BvTTwGYMBM9m0aY+VURwX3mzov35rUpYBeRWI6d+wGAGO9ukHFAAILClffRrPcFUxmX0s8L/EW
Jd4chizIHiHk+CeNFEn2lmoBf7RRXzrQuXPF6Oncpq7/49z5ILgP+c/13Hhv1Pu5UdiubrWN1TZr
anGzLIgqhRVqs6XUvyuSQS2harpbChbL0WA5lLjrvHgyey1xwwTKuKzXllhoTOvIjYv3WMXiFQBz
wQPxq4MOr8yaRGLtqZtC39ovwhqq2VODctPsXbtjHYkPwetYgCa6azMoAQAzRQHuTR6+Dipk8m1d
Q/baTK81S22X7Dpyv26dq9XVtu3uvlOyH3KOx+0c2HwUYU/Y92df8MIAJCVgl05jb7o44vvUUIpv
WQehDpgN4KZ3iWEOwOVDMhTvm5BePBn86kBl3DcKbLFs0fJrnfe5DvZiXF0KEF+WLnnSORosO6DB
FVUBsXgOJA/YdShTO+xIE1Lc4g0MvGQqYDrbAcFT2oBCWPYeuaXvy1xVjmrhaFZPstGmgxli2zeU
LDyVns2QcmnxXtsH1gi+7+rScalLDd4KELhdmGh7R5WGn8WW5jdOpB3qLho9+scUKJId2rlLPPi1
S/8n6jZh9jF4CFAFX8eSdw2mqchbzSf6L8bWYer3XWTca4Ws9j234x1SSvXXbgj8DNC57wCVJj6P
BvU8RQXSRyjRuORQePliDabzOPDUOJR4pcRGSwvrVYxQ+8DAotfFJkj78GQ5efYQD/qmEOEV7xEZ
X1UOtL461jreEaUl91ZeA9oxy7gXeZKDSSHeHVravTuaMMyXEXaILJQOtTVgCPVSj1DIVHUgNQOA
JeYjarSmAiemKWpvdaSq/EfcEpwMfwrJnGUmCvvdnEuscxLOEJ0pKqgL0IbJvjZ4c4GyAyjuyRBO
AzAI2BsG2PYWlCZ7pKYDts8b6Be4atI6N1GM2Yb34DlWgjs3ahL80G+Tot/3U2kdV3sdSHbq1O5M
JhpOR2mu4tvFOs0VyCY0VY8bmyWl6ipRVBw0M3cSj7cXiXfvIAsa5w9QowVCXYNw+NKdbSaYRb4Z
T85mtfVYBVq9bM886fIHXmbiBkmu7RoQKgKi0HHXen0q+aHlVeiBUjiccPUBAByx9q0xI2B7Q+D1
60Jr78y6ERC0YeybKFkGPmgTn2LGyuc8UHyyq5MR78aozHflPL7CBhwkt/45E7lyTDsdLzea7Rb0
58AvB/YOZVbjVkkVjNQYBCy9AiwgnfCOuiIbixtrc+cUMivcIA2jv3IAsbWxyn783yLYPAdeG/th
jma4b+TYLNDyhFeQXUhBbIoWwLkRTt9si/OtOsPPVTv98z/UCeYXn34sE9gq9vS6peJdMjreiqpS
GeHDaxPLzNDxHg6ePLa1vs0gi+BpQz48m0pobKO0iLacqcNzUZeDH6DmsydvZ6AKXqUMi9PZGwTy
a4G3kNzIWUyaH4xh/1hMffBkZqG7mPsa2/a4vKMhEx6n51wZwGAA6vLBxr7H4zMZK5EGMs0DOxLx
ihppyM4LSp4AaQoGl2MIDWK60xJBgyzoN3gK7jT7MXQGoI1K0Bf+Tv5vGYTyhiwft6uDNjxIlBe1
v7orWjDQdqmfwmwzhdjWqE4iT03YylM3N9QtnRJ0yG7kd4bOyt0aQkdrHA0jW9+aYq+M2nGN/RRW
0Zzktkf9Dg+S94nXuPfTzpdhWHJrW621x/u+IDiznoiuOVFNsS01cOgTlORuEcOzEAWoYmuqoo03
kVL8gRJmjFsvQta4aYAWu1GNZy0NLK/p1WAD0kGFraDCsvOIYsPU9nwr8aqCMzVGZD9g4zMXtkLu
iVlIFntn+6jgXdQ7PcmhAtAqBvBuEIVFxikLUNlHTE/qsmTNGQpB7ueA/2HsyrbkxJXtF7EWg0Dw
Ss5jZU1u2y8sD21mMSPg6+9WUC7S1X3OuS9aUigUyrIzQYphb1CE5taepLRggHe96XPnubaa+JLo
yTcB9KIXVrHsxUOa0KCH5ROJig4/MYu5+bEHFulLWLnIhgOJlyXd6GaoBuX/LVzHdbuSwxDdqAml
iG9a7D4WU4z6yMwQLqoK+ujIWf3lgxoQQTTEYruH//5ztD7yO7k6QBc81/HAkO6Z/yyInOLStGMg
Br5OVeStp5FbhygMEG//Xa9hFMZb5cZcviEQelIac0HGokc1HKGaBfzWaS7U+FDX0fPKOih+m6kv
JIDjugjwIGThTj1WFSAewEg3ip9jtZggRZolWYUz6cZK4Mz/MDHbWix8/AOUfVpCKgAXfLPwbzuR
yrIJLWuJNiAE3tRYmI99OwYAmbUuXqKbj1w1FjDzDgaKbPyya17iylHJKCmoUWwQXCCDsEAC0wON
CsPrzqjAeEZpHvgtushGNM7O8vWyIMN2KDu2gj2toIn/YIQUqlpz90BDkjtQMfW7ocEL31Zoh6ZC
RaSmCjP3BMSqHf9TTmqoakahI4hrFv04qNIHgcw2f0pYvV8maAGyJ8U6YiVfL+ZoYtnfKpF4nLCi
3NIE6XEDF2X1IXpAZjDUcylkxxwAdJnanPSWjZbNkQYba8DtQuUT7bnoUM9hU78DwneHZC38zcid
T44TMCZ3KI9vcFUJO/Moi4Ln/oy7pMYgRjCPNBwMe/ROwC82j4M7iQPyQ/wWEBnIbqKWlBZ1A17b
VTSi3G8cq+CEK629q3XjRqMcWJPAJlYTscBBw6cuNUjOsPYorjzcTSTAsDwtKomIghPJUlos48A8
jCgRkMrgopcFIdyWNP64JOkkOyYA7qAls5lZUW2VSTxk3ha+b11Lk5/43R4iFCOuWmY4rONmBL5v
miDxvh/hdBosEQIr7jdZDcIZhYfks1EexmQ6RFrbJ8/IN+/8sI3CbZ9mSO0ndaomRyojwIyRSWcN
jlVeBxTpuq4WniYLpQc8QzIxQgda45fcFWfNQu3Xmrqz1ND6a9M55d6pJ4FgZI8r210XF4N2C8js
P4zUyhIpkSHqLTIQLl8tJIbu70SLWWaFITAq3z8bLc6d6uZOTnjwItTN+FoDCjkR68AEsk93opj4
5XBZviDOmG+zsDR8MYTmuKYV1EjTyfyxyrJdoBQN3Cc3YYtqIl53FooHUuucAOZr7qHA8SmAG32/
iNIApGbrUoj2XLlfXNfa6FrqopTY5o9yREZqbmS5T8Npki48I+BhHidPrElGjSedYRXAw71bZK5o
vlZpVJ/gn0XB+Ii7je6OzY00nAx1ZSXc2ot+19pwnk2IIi0yW7Ym8DtLtl4+U8/KdFWnUbgnvdCR
6TkI2blCxc0pn7RunzjunkaFEtnDYJXALUg7xAJxdKUZaiyaoe7oJKxEZBP6pOQWFjg7gDO+oYXL
xDL8aILG1Nxti29Fu1dI+3d78VJE/wO+ymAfoAlcw7QB78Bdy3M9DtidD/kzCAYhdd+szOcO1S4b
4D/e+n4MfgKVcB9XISA1+glIzEhJi8GHeQhNHEj8obsiBlXEflqJNeAhgl9Ooh9ytzZ/lsJ8RJW2
/G7V/XeDmeUVtQZ/F7IVVx0lOkBkAoxJY/bhrgiQs+eqKxMYBuAwD8rJ96qqOuh6XjzRRDfsIqTp
Pc4DOECOJoJI/rLIcQErFpdZsU1Rv+PbXWnt084MHmtWfctstzyZqJNKVoinhjhzPM5zptOcE218
MvAMQK1zjJJWLDF6Xe6KIu9WpTPxZIXYibbqg9bctnYVPAKdV3us8uKbw7PqJOtabHVZ1utYrf2n
feB1P817wxv2Ztcxnytz4jdaspin3WkP9amFdGPEUh0D4EUiSGycXQJbwXg7FirzdNYjzY9Hr0XH
mnUTt8EuMgpASYSj2NYWcPRpmGZDt5cusFDGyohfkUyCAuPAMYFOCeWwA3CbPmmfNV2Nhqx/1Efg
W6k5atxrC2imF+oH1XPLivzYDSUOX3LYoUSRHVvV2FWBitQpQ1myXeM/s8vx7KeZop4CawUkb8yn
sq/1Pc3Bv4aMHeQNuUBrgoG5m079NxAXepvZ3qz5e7dl3d2WQI2KBUBX1fYk5l2V/a9fhvkPZDcT
mWWGYxsWoE+QXvYBH2yqUTwop0o+c+eVxxlP1oGp3hOgUfXL1I3P1MC1AzSFj10HqWBnxI6K0+jd
GA0GpIcAP/tf1llh+TwWgCZttS6Zrf6r3rwVSyrcIWF7RUpkXDpAuF7P86aGsie4LJAOnjrDJ7jB
g7004PahNEmt0+tza48PlDlJWZLeb9GMaEbDxpUPBBxFaiQCPMIDmSDRn3ZI1fWq2bRdFwzVJoTf
BBDca5viNwzmIvcIhMLvNHKmZnxMYhEdqlEDoXidoJRlsNNm58UtvFG0ohiKQ91IFL+lOgMsjGEj
SU3Lnx0GwINdgbhbl6CUcWjAJwdimSxcA7tDAxZpFFwTrRkPupPgFe2G+kNk1fpDZSFrTURhOMuW
icIc8lVpZf2WZHE8Dvhaj+rkhndENub3zSIr2uxb2OOEsYgW3UWGApb03ADvq/E7Ew9UlGl120UR
xRH56b/fr+Bz/eDuMHCtsm0HX1pmM/aPp3qKCChOClX5XBLCLw6Xp2hs2Bl3B3amHkrO74c0Adb1
b12HKuF5pHTjZAIg4LK20FC9CS/WneiDuQS1ykBKMJx8o0sHWV3KjB72gEINC4bDdxZcokp8bhvN
fuk003uyY+nrwER8wRHafgE99NaJm+KRRB6D/y02quFMQxCK8lUNdss9DQH92W6RXSw3jVY7L7oY
2CGs4EokS71txds20Act33AzRvC6Asp0rBrqUQOXAjuCqNQ+1qMCmKbuMkM9kpHiso7M4MGYCX8x
saz7YAYVydUGWN3xbH+xZZIFWme0HDVR+dBcPBWPzwTwWgecpebR6OprJ+rMLQ1bmeZXqyofaBRS
dgBrEwC8RsMpU/kALR7pIEYGrgPNemWFxFYHjnnF1GL01rcmB/TiMGpILXLDPhvX6V+mQOUPKVBT
hsK84DCODCRDFnvWaJ9JPrY1FunUMimKdSzwzlrWUY/WUQ/wv//r2fwPdx6eyXBsmAwYGbbN5qzg
O3deknYolXes5nm0J+47CRLu2rIMLkJm00n0YDEPdORJvsupR40+mLghu7bYLbJFzyujbqdriGwv
s2R4GfJI30x5Vp8+yGnHCZ4tFXLHY0ftvRimXmB2EwK25jy5rF8+bAn8LD91xv/y6QbAiNz9xcta
2kJ9Oqfs6tOy//Ih+ngq15rdvX06Wrp8CqR/T6dpMNYkGioNZxuc+LLI+3YAFwL/xhEX3YAnr8Ll
lafPfdF/n4AI9U3PcrjNABAF8EQWn10GSBo+Nf3a4fWw4Txshy2Y1dka7D9I8GJFEf/wJtSra0jZ
kvRe9MwxPs+alXpFdmW0qcKQHxydGdlfJNPiRvqA22w2XHpV/GOMUT3DwZzsg5Ck1h4BhVZv9LF0
cKmxq30T1t8HVaXTFFN+7VRDwzHCBRCnosdFRPJ28PIr8j75sWnsPYmAbAxcBep6mSfORtCvaPTB
ZNPg/hQ2G5pbzC5aofwrAn4kiuY424q6ltuwYePFq7rxEuDHdIlLDfgpfZVtqwJwjjuaGcL2b32w
p12gyWoE8FAO73Rqjg9uC1pYUsnaeAKzcymGddaNG02CuR3Z6eVvbYaYLai/Lkj3rlEjYAq++V+v
mg8VK66BHyJwyjnTcX/A6+ZDxQqAScHbBzCh5zJh3RnZ7CABsJqDh3sBrleFPDuA+u58GvNEoFsw
VPFGDFSVixL18D8jz7OOq1bOyy1nj6dpc6DRIl/WzhuQ1TbA3f/jrmR2Uafe++csJahnQhtceJHr
/uJF4L1kujFuc7uajsBFda8WMpDXqLULvjYZikgUbFUCVaYPwPyv3HGLK8Sbqq4VOIRYafDVyGtA
dubOT/igYjvXVeYCXy8svmkfJDdvM7PyToC6pZ6wEzZrLuCGWY8UgzfNnth9F61A865vaUw9MHg2
mkhKwL6giIEa24wuBQoGrjRy7KkH54hTzBqRKn+oNO38QaPQgkJh8AJT7l9maQekoKUFSvT/YZ3W
FgycJ3jzpyClfmWoSk1XIWoQj54V4iavReET19vwKc1Dvklqa/IjD6yceJCcskkqgFwBl58aEsZc
MYRTPY/vugjrxfG6bpMVQAWKI6kP4BY2Hqk7N/HQrLwUjCE07Pz//s23TP6PU5btIQvS9LiJW7SB
EtI/i0dl5hZNmnvlMzMK9xjYBQNn3Wis06gV8Mym5gM1nVFMZ+E52wivs4dZzSi1YFfkU+tbSV+k
m4Enct3b8GfSkiDo3haDGUD4kjfdfjFIs2ojeMb+sVGYIufjfTktos1QGdf6NKyd70lX92fyK5P/
GY/b4pTixUQiau4c7YZggmYXXzXg2oGkROP32bsV1pSgbMoyAfen6JssoNzgvqa68J87x0I11HMd
G2xONJPro77TI/dudiLyJlBhOceWGKFo4Syl5SPxQi0206kA+wiw9lHtUlyoGQdP1buxdhvokZbM
Mzjwhyhv9vak0pHywHERoXGph39LVgAJSOt3MrYzRMMAg92qZmaEUHWfarJN4hzxMsiBmoysoBbM
r1KA5YkH3rSjsh8rQ0xJDk1zoWHuJiukfnkvQ+sVjxYSh1Dai1ohBF6OuQTgDGmRDU02+mwjadJ7
G9OUAsPP8l5KDnKGUItqlEAOgOSoLeRbUwNA+fRcZlG9AegccsfVBMnysk7PTtWOqBNXOjSmacMO
2CoIGjDCAxR/M1Z4YQydg1sLTZfvtj8YoyEtSdRWH6wy2op07pqaAWgKBS5AlawP9BeXY/Al7jPr
IbQ18xMelfTPAiId+xrWTQiwalRUTTrSAvSG2Wsk6QMCuI0Ak6u5X8OpF1/sIAPUfVm2LzrKK5HU
JNNblGjaVudJc4af1D5EhpseJKglLxliotuybsNHqy+qdTaJ9pWVnYm4UFp/TQ3+0gKJ5u+wRQVm
hsx2f/ACkMh28S8PrjI4Hs4xuL1OVPGRJyESUmu4jOb6jj4HvxN+YMmBakBsXrmPXb6hAS2IeyDC
IbkhuYPuEtz5gUwcC5htAy92fTGOayp6j5gbIwjTjGuqkC/N9n4ozJpvTS/Od30gm5egFN9a5GH9
CIT7GSF+9mIXVbAzBjfd/6kgyy8gSLZONVE16wpZCYez+GIl3+9EQPgrrsMIem7WwXlrJ9/7MISj
YtQF4BzH7zSfmDhuuBYwjuh5gOeC11TFHOyiwNkMrEZPld+T97hqv1eBWv5tFUmWRxFyl9kB7MbH
3ky1aRsjwwb55UAj8MFaLM5AYivODujOKiQRH1OaSJUOzQpdDzdA5HFw2EAhBnJ08mEtJviLaN3U
9q5+oa7bAgEh0NmWM1QHRpqjvwr80/p54YpfG89p8l/9UCYodBPTa9Jb8CVYeX7J7NIFBkyibY2c
wamIf3B/aiyQP9RNtbUUrpBZw+Vp9+dwUlBDYQfUIZLXeCCta6OyV8aArM51X8qNkYfFAZErALaZ
HNTGSzMpGmIaIk9u8uMmc9aVNUxviv+65m7+rktGnK7+1Vhc+hXPfiF4OBV+pbH0pGcNYCUsLcpO
WtCD9EUJqSFZE7U1X1G3om47Rg8uMwCV1nmgJKu6X1QBPmpebG4FEI5BqQUEkHMrVlrRtDmOUko2
K0UNus1QhnDAtz7COWqG5uf1rhtrhxy3iNEB1tv9jFeUyM4RoE1T6M0JYTZn1P6z30wu8gZCBQXt
1dZRM8wY0GccblwCgXazDLieNJ0lYtckcX90gaeFb3Xh5siwMNI1POHWxVXRFlRMcbz61FjvgDKg
xxFy9Zqh3onC6k9Z2K0z2bkjYoG4FczdqOQW0gFw+5nHCSngTo4ALtDy/MAxhI+kjwgALZF86OD1
eqCebqe6P9lIb6ahh1eTA3+D+BW6cOuRHph8NMAm2uMNyLrGcVYhbQQltqAQHs6LPZJrAOXrxvG6
iNscr7Cq/BE7Zn+3u1nj0oPytV3lDKFvtGnlU4p6kkXllcXFjbLWKTW+i/JnI6mdy5zzLg1nI/QI
eKMqR77g4Hivo+pGqrToXZ9EmcWdTTDyAQgc1pu+sj9Xn1tZ8Txq4Zvt9N026SLxuMBJmznVd1NL
zNVogEIi8rQByWWIfFMjw/44IQvqMo/Kurw6NYKhSoFC21ohnJ1WygoFTL8X/SdDVZF7F1oF9/9s
CMdZZ20h0WPTBeHeGAYb4bimnnlclShohX0hClcigFWisvLYRRvZTzzs8OkU7WuiaztXaZISWfjT
njVWm87CnZFQz7Myxfk2QxIoXRaoARB9jhqyahYRXjrJFRXRqgFpwFbrJ+76RhHkF+AEbxf8dNIj
m5XSy0fULCCwBXtIYdy2jqUVG1eZoS2XdaSiTJGB+YayfLQPesrUFISvsmBXLyn7E0+7TdUJMEMX
Y39yM9MtfbsvPDA6Itx4spKgDHAqQXeW0iIaq5XDAE7peeJu0ZsVwz3oKI852QryC19NJL0HmbuT
rJdg8Hgf66ZENUsDp/lDauCsiApPvpuFkd2dh5xNp6BMXzPT7o6jKivOWx31ySNAQqQLEFlVrQxM
n7eS5czFQR6/Z22uVl4mEqPeh43RnxeRa4Px0er4N7LBRiQnwEVstitPc6stbWMKxRlSgmu30/EG
aVHFcqZe5zQSHw6Ihm6vpz5N2KbE9Zqm5y4r8GBjCdygJGw6eUlbRwdeO8wstqj3QTayttkGynQM
flDkLiYSHGEMJGMbC7GQkyu8/Ma5gQ8GitsfsUw32Z8aThG0+2msorMOhl7fMnP+swyfgyRowKpi
iVUoEgtPohJBzjBnYCZ1+VOd2NIvCst5V0VkVCCVd9t6SJ4HjHtb8XVjb5Oxab8PFW/WQWuEFy/O
4qtXFu6KWFv+ULCBHX8xHePhrfoI2HQmnhbp9Bkp9kAtqaOfBTJJtqWlDdZfZZT+LL2Yb10buZxr
i1vNegTewYqUg4AB2OR9HSnSKFfIJYDf+T3bL11lMc/4uJXJZkr4CLaxfLpRLw9/gi66fKABNUjb
BeMWrxuQJEBrVvX6dC+jBK8CtXzqhuk2Ol5zs58WU6RuxJ1EHeAExOF3TTfm6U7As4WLRwYODT0W
ARIZwJylNqi6vkb+NRxJPqAR+kMfg6/HQgrfhisEFGrgWnnrTZ6blf4y82G6n4ybOqnvPshp+HHt
YnWxR7LAgzfaTAtjpQl+wfMFoTScyUCcbBr6KpIVuIxb1FD6xjDxnWcLx5/HiIREVxSz4Tat1Adu
WbcmwmNfmaARNYuZ2SyYRN/MdJbmALIBtGS6F1qvPTj0akWmZ6pR+8fIRUqVo2j3rEg3X+GynTVp
pNbxvnkemr7fR8rTh88Hpi/VC5TPL6mzEj8uFOvRBMlolhpNeQRTRPPWbVt1q8XABz0RgrGFDVyu
l7WLgd4tb9ok/nLSBkGYQJj7xi7yJ1vq+RPq3FdIC8huJEp6kDsmHQjcI9svE2eTmcx9qJFE+awK
U3b5BK+Wo7A/aiuOnnHe3TjAzH8g0aJBC0j2bmPRELJ9s/GuQTb+bRfS+K+7lB3S08xClsh104sr
+Fa+MFRk7mnUI70f3JxqAlli80RtcOPgdqa7LaZOXwF4yVjfXUvm60jTZvqqDWxjPSfz2UnvF26c
AM98qhN3F0btLjKRfARoMKC2I1U52Gi5HX5Bfv82BcDsK0iQ8foVTFM/sugLgCyt1SCC4dSPjvir
SBIfgevoiwyT8qBlYTIvN6YJcaFaeg+gLHceudu9ktlcZunWzrpgR6ved+Emyy5I29R8UustgBZO
f+xCctoFl+eN6XkHFCV8mfIufQr6OAXLuwe2IFxh1zScJ6YIaVP6oB9IBoiJG5ORd27dHyaQNm4k
HbrUPClbEUon4dd7tzOPhzDr/Kgq9YMjW2ejeagQScGBlWvceBFtFx8dFziGeLqKb4kx4EEShF/G
Qe+RQBtMuy6w2GdkzvqkoLey2oB8ShwBMt292F7+aCdB/g3U4NMq78ryooXGgO84MO9oYtT6yp9c
nQG5CMy1rE+BbQsvQzU14tufHwMsDjh3KLn6GMrHfc6llFtwdByTTE4PHP9tz7Yn27VACuFuHko9
Ao6dDfIENevyKcC59Dniif1EkhrQgUBGq9oDDRvURe7h4pErGpZpzB5xY5xHJBoBourrOkeFkO3b
UoLcQDXU07qfowcYbBrgfPsmRsAwvWoDyKRHyQ6LnNSoaXod1N+OTHak+2G9BgI9QCn23nqZWPS0
HGf2ETHe1WIZBfoDqiSMzttxx/y1bLSoaPg9HscG2A306SJn1Oc/R8uq6BrvFs0YnA6XJjjOR9xR
NAfw01c+iOi7aAXc6bcxYz9EULTIAS5KDac1LePGtte6Gsctxels90O0MoyarUlIDUsa19h6uHOn
RQK44xS17ji2ftLCYAPWjfFrwBkukkrO/5CHLuSk31hw1w8jPDtqESiAx6/cGQcEK5rh4Ip2Nkby
ZdH7JgJ3t1Nmj9UuVhX7zCoPje0Y515V/pNoCJpqgxtju44VSADJZFRV1yHEcz6ZQPBLsrgcDZRo
AHZyHiplnkucksc49YGkaACdW1lVe0TpYJwXvSYW1Qb1ZNhDfQpqvFqvrmD2Rto6RHY4Tfj6oPIv
QoT+sxX1fyPtESEIu/ceO8d5BomV87mM+LS1Sl7utAlaedEBiIIZqHIAAwE4BS5eOqRXen43eT7s
u0EUK2M0EDdAKuQlbnl6pSf5x9kIONQfZnukjKwQT1FJ0b8tV413BrFidvZk124MwMav+8TNQYwi
gE6uerH40gZh9NDFw5u46hESXFRJK8zGcJNNnK86r9Wln41xdrGATSJ9POsfGY5Ve6dtsovX5lO8
Gww4I1wGn6DSu1Pm8fSlBfr7NsN54WRw+GaKkA8ojYBfAUQsxtoW7VjCE9Y2p7turyU/+wHfTDiU
+nPE0ehVYWx1pwtx0oUfniaGsQ3A5KfGbpC3Yp067FOSV+OOlgwxSMzDQ8k7gHnl7Afys0HKNgH7
lSBdDT42J5lleFqYhZ82nrvHWUzeWtUM+IbtIt0JVzSkCYSyBA6X/iKhngePr2+kkblbJmBW7j0D
bwcHD9cdcnMAKTJka0NwHvkiTnz8mprEj9J1G7tR6gPmwZiaDBLUOKN8Bnm1NfyXbiEzhUnJd7XT
mn/XaXkePK/4mZXsseo19zuYAj4zoQ/fwA/5NwN711fHQMFE24PxCnF5+LfDsVkFWhpspdcmLy5y
bckpSqMJlU4NqjJf3+fIf7qM3ueU5v9vXQ0yN6cRQKjuYhBlTxHqQhq4pJBsn/9AUHL8GuGitapy
J7xMwgpInvbemxzJ4NF/lLtjPeuTHZtpH+2Q3Ai93gdp+k5j8QOVLNojeB8iO36gWkiuRn/OhV74
QGzCpKlGy7rUSB+oDtIcQSqm5rJBWmfA2narCVnkq1Ez0r/qVAof8Gb1dzyuT2kWp0DkizadAKu1
PwFIrS9y40fuAfeITdVnvPXKlabZ8hkherjGsuZmyfjJMlr3c1oP3koD7ObNYrXYW2IcD23mdleJ
0No6aZPpUxGIvx28d34BICmI+l92m//CTb371AceX5t1ll/DR3zdcfgabOumIxFzlRem81fjjN/U
w/pXM+LlEyFKAJKax8nurC9c2tWKa3H1NPV1v02Yl59rFAzi/GHd27FZwv/yhHy3Y/QD7FTwxhgc
yTZT3E77qENx9NRy/iWUMvMH1UuULBxK98syu/T+u96H2f9oj/RQGAsgsd4BxCBzwThdeBnqkcCj
HgbG/XCZrRV/e13bb7M0XGa1agTWE7inAO+ZZO4Bfvv6WNXIdKfbL8qLN06b4muPsP8uYy2wX1QD
h/8raoS1E43GNOaPDui0hlTDA1kNHLO78HY6zSOVA55XWnxoYqQK3a0B59smrDVEudUqmih0nq1o
O0cto4m+z147JJjfmYv5mbajNbUT9ijRR66T+nCt59gHAymUvjUY7EH/EuJ79uAaFXsggetk/aGW
9vcaRKF8VuoEvn8I5o/rPGq0FKCwxS/wIqaHoa2DdPNmg08JuCTe18+qy1KpoRrUmdoD/qL0RA1T
jnOH3OmhBvc5jZfpKXTgaA+GAo/IwtrTxKIn2sY9NkDyVuZm1Q8aiyXqLdbJyAdZL1kN90jb35yo
WpMDBl/q2E/qcHiJJbe3Xp9Ux5C54gGxFbC5TEP7LdKqNXlg8tZGijef5EuRxgB4SsSKchkRHitS
VMb/zo2sRIjIIVCu52lKbaTZtrPTM/XAI6woLd/HUWwcBUIcwGAzPosK+UPUC63yrRerniwG4zP1
ltlRyT7oLVZEXB5l7/7koNpe5blp4jiu4d1L3hlwTsChw0JgiXdSM2eHzuzlQfAEhbEhAq7cKLyH
ERyhfpGj7MhWQ5KxkjnXOH4lSYXqtlmsVzUSQKcsWtGERFS+so3mQms88BOCRUJ7s0OrBifmyg4N
4l68IBNgeNEeHTsMUKnIMx9EBeFrXGnOpkcFwjlPWu2k50aEMg42vpRClWN6hvG39lgO8n5NPWR8
A1zC5ijkBJ4j5IGUdT/5PHb4gYYTXsLnycUze1QJHvWfsyheQOot6O8oL9jK+xe8z40T4lWgNu5a
fGfUkPJ/qRH6dCeiRQ20DJ3ppyV7WGlVbX8v+tMWb1LkPUWGgRym5EqsiFMWVrcK3hwa4cA9j4gX
0RX1PLKFbr3+qfk+orl3TUR83HViFuG1qcubPnXxC2/t+hQFwLD0onz6quRtEccvnog/RW6U7QZU
clzBrfHWjB2C0vDGgoldhpquWDfeZhzbARCjZ/arRbYsBvUw0A7tJJ9naQJIFh5uVCX8slmTev6i
jWfCm1VUXsrt6P2xU5EmzQGQhs850t6uwjSaVTwk9mYetkNwpR6Lpb0PwubHBzkNS7yPI/i9zqEd
lkBo8Ia9wjq9JazFGT7WWp+GeACNN+plMcipgTRFkkixR48Wvg7NCM/Qojpq2bBHkRx8o0rlbgIn
1DDNNrpnMeAZl232mpiyeRikHIAPZZTXwhbeMVKyiWQ2ZLUbIBFEy+CZZyBcfXiXOXXuAlEUVG4m
8ivjcDhxx26eqGk9D2iFskdN4LvMYsUnNxMFnOag0PpzEYlMMHfOixp8D06NcJCysC4QjF6JElkC
+M9B/vLc5YkGnNVcIAtwEaKM1dqA1RwHH5VhHb832pQ+mmDS2pOyweO3yQ9Dw+i1Q1h6W5LT8nm3
D+aWzWPKsCbNu89BGyBc8+jhtrjNSntArWuouy4KyG17rVmOYrlJxEth6MWxBIUm/KkYmoadPqWe
iz9U8GZVNfXnTvO6i5FI8QK4dXs98ul+6RgA2IuWpl033dKu+dkzVBWMvOlfQCFkrtMhy3c07PQe
+YAMYOI0tICXe20j85FG1OjiW6AF8TNSnPoXC+daADX+NibAfzAbSxT3w78ZM0BlZQyahuvdhIQc
1AggSwHfDL2LkFlWqSxgGmcMEUzbDYydxyp4hN8nqFdonrYdKzz07xZPqAzBsxMsxDEPvdNskeY7
A8k2krf5NuB1CBdP+Rcbx8a4lnbsrjJN5Ejic4EthsJQYB+6BbpMdVnMnmIzlvtGIgcHicKQtQof
ES9qBlKkCugXGIXSsHoQK6GgkEdm5ZeolL+QchnldbxjugmXbgKOj3mbeQeUqkwSiPBsWw+gG53y
1OyPNWoDDl1oH5a95r1xFMo3cWcEfqJ4Eo3afjBLVQ4PNKPONzx9PNtG9NbQjK6mef6zQ4j71NcC
L2gS0STpLkOkckR+WOOaW01IR/YXUx2fnsKCF0dgVOS7RIKhk4UcvkbVJKHMbkHnnktQTJ8WkYZY
5E6i8NUnjWVB0LhPyHv3jouoSHt9n4DYwu+jPL+zy93wa5lkMRicHcsFkApgc6U5/jLVzmGuZPXY
RT6zXXHohWSun+HIe+wAJ0zmyR59ADcMQXQ7IJ+ShjSRA1sAzPHj45SmMEUyt+Xw4yBOvVsM5GGj
nbzEPoGiN14BYbzfUai3lDWetChFnn1hAZCMHzq8kPG4weOWZtWQdClcjFqVecGsQcPRY7MGqZGN
xeS7DVuOL6kZ6J+kBd9p37DoE+9TwKCB8OnWiEHbwt0dngtQFRxjvRd7G1CtVxQ/iY1sXP6MWDx8
CbrGvthgJNF0T35N87TwHbcZwI2dsJtUoZeoBPGKEY4IalI8pisQggdf6aauIqtFdUh54XzMz/Os
4YppRRZQJIzojVZgdamVwKUKcOuyxsHaIvDaPNw1gHDHFz4LwMA3IXw7Dp8dt5JALI96ZAjBlYLP
0p1pSD2S1Y53KVAwB9A1UP0gvQd6c5cUB7W4L+IIjLziaVl2p5KD5+lUID+kQZwWjiLkl+mNXtz0
tDV8QGlH3/XafklQFf7SpV5+SOq22/Zt1X8xwmgFDJZ1VcXeY19F4gVkMWfuIvjMUPX/EufMgQvM
KPY0mY+AEB9bAB8lQwEMiDGKblYOgzRSC96Xk77VTs7Kq9JyH8H1Dic8knCrhJ9c4D08IULg3pLE
+mROBujc2sTY1V2ibWgYm8ilS0UlQGoP9gHwTPlMqRXI4jhZHF5rOq4DRAQwimaEHSyguJw5c049
nrS3vq565D2l7iXU/o+0L1mSFNe2/Zc7x4y+GdyJ9320mRFZE6yyKQSIHgHi6+/SxtOJ9Mo6r469
iUy7xcMjApC091pudCJdgcbkR/TbYieywa4/iWSQGu5PACX/I1MeA7iB9jWIvzRV6EnFnFEJvuyF
Q2Wj5ijdA27/tb2kSlDyijhYDCoNe2H5WIJKh5RknoIkakGC9ZSGMs4ONKOhoqS/v0ouLexbRMDZ
OA9U3KQ5+O9WQxIN8bG/ibzzgE5u5h1uTTAkWpwcq6SoisXkHbs/pyl2nbf1UL55fuLvQKiIQmGF
BG9GrlgJMEzvYyXiJOfPdmzEQ1kE0Vv+WXOb4i3qGFDQjOQHRYBc2/uQIC81sWpUArJK3ZsSRDZ4
DEIgdi5HheuSoOvIX2qDybdj4D0Bw7E6NmogKw13uimCLPgDwrJj9pyUKleNgu5ZP4V4qX0AZoK/
ZRaajpY+bobFIpADOzoWdj3HcjDWk7IqcG6GbriOXx0+Rkxzips8/AGgqTrIALboiz1edXNyMn/U
TtlRqcmOlGWSPfVB5k/TtBb2JJTPh3gyk0yWKZCUFB3SRacfQbg6GBAzbISxBLufnYLKJ5o3X4Jq
QobDZSJbJF3oAMMWeM5XAsZGAv4kBtb8iqjgKPafwvq8sY/kQb6D5vnYh3W9iZOOsge+5h7RMXIh
iQbyVVelcOC86Me0ZNM9kW59tOVMd74WQJCWrqGTW90SZz0ZaZOaZmRwSmfcOF7Mpi3r2UCxszjH
JmguxEZhuh3zHIiRd9eY06e4k+1R3oyaqJ938SmCrnsXlrrCxykoNifnBPMHv9PZANM7Cnd39+nC
BgR3H34MukTtgc6txAnh9DAJy2HToJzq1KqDhzECw5Lv7qbzBdQLAUEnCMUKRcDpuhzxzg1kY6vH
0xwU9AWsdGYxu1AciL+1pdM49pIeXgxwVIvMT4ctiTTQky70LLFIgxRb8urpV3iOd+zyygOEZ//g
BtEIFBE3e5gHX0tQosH0cDvraCbdZkD1lrTWs6HveP5gjEm+HuI0BNgCRLKSoQSR8jZQrCF3ERxV
Kyinzj/d6Ufddk5jLldzDq3H8x0Na082aHYulHaMj1bZ8wc7KusziKdWPBThQwZm7AeahaKVaxwU
akup92O2zjT9BT/xeJj9ygZsnnUVnJj1ZvN2HLxD1WAX0GUtGxYh0PbP82AIB1C1BtdwSo+3sy1Z
AILj7yIUSYSZc3VmhRPhULrsrjKw/K9xFOGP4lvZg1fEMNB5v9ALa10y9KgBgKo8dbiNO3vb7YoT
yS7oupfgwzGWqO8tTrNBGBqCZ5nMQWO2B9vSl2U0oj0PNVH5ynFLNLJ2AfYQw0biVAfFWEcxAr1n
R1MagtjS90mD40Dl2GohHGk6u9AM9Wk/U1hdWnnL2T67270GSxLrWIbU9p5cJu8P4aQd8dwAxJ36
RBQ+eQ3qM5BSjvqjZC6eNOQ4X0JDOWmwI3n6qSK80hiol9tmHl5UNL3qsXgdXPdIg6Yn/oGbb2RE
33SNViD8UwI8Trk0ZvRzOtm4HhabyDL/IrPTyREQ3spz9O11n+MXZCUpmGvUoBYm0yDwyujHZQ8u
nF/0FWqyP7hNAUo3oIx2Ebm+oNXN6S6n6/OzECH4kr3MPjYAWwQDgIG1HRsDsD6j/XTAnuiBDDTM
fiRmqFerUJCIuDuzzQs0M8m6WpKB8k2p7xznYPKZxRp/zxybJkAw/OVTfchCEWSnsAwFA6vR4Cc7
QrF1x3v5HpsAG4hzUMfFIpbvZvXWaAV/S0DtcAp4zdEHATW2p65eHv5tTyOgYJeNj/dlp27Ylygt
wbxmATk1zLz6xStwJqv0tgCYK+At4y25ZRlYhLxSvqRRX104NqUWUY+aES55sUpBQnfwmNDfU3NS
A4YqPnROOKzIC8Bf9SL2wS46hF21NAKnOUnZfxrDHJ01XQLgGjWQngbO2o8i6fQQb+RqPT67/aOv
W6H/sm4brJ9xKRroCnSt3+m6fEh2IC9++seUdx+pGHRjjU3DDnSRPz+rbif5KuN4/R1fQBnnHgBK
kBxpqLsQ91rRJ0eaobnc2rkcjK/KA1yQVzcSRVi1BcrgobwLI93vQmY/sEg11+AByEE7p4yni9zl
m8VEorBV6+QOpJPBAaxkwYFmoKm8zmrcFcERoORpemenGK8KPkbr2EZaJAYY+e4M5GxaeFNH5/rP
C5LPnThd6p/dP9i9AaC6Otrk16jvB3gSjoEXRH8LskS8LYPJBiPgdaojaWd63Mn+WzlXmdrKAvAO
hU+svZEhcCkKoHxBAcCC3t1xzcMOtoeOZtEAwtxtHOBDl+EYnVu/x0rtZpkcyWIWAQAXTOBlUQzp
aNDJwPMw3QICI1kkLTASIzxVF+i8BGeYoRX7Cq3HxzboLDSz2uHfzF7Fn1sWoo4plejNrJtuE6ul
+fxOg2qCeCkTf5jW7LMh1/toiTZbfTLwtsHmb2z7Ie60lbUpoqJBUzs4GRIWvaPBO3zCfhfqVXiG
B3qlGUsSyeChiAVImq6/cVItmPzwBPgjrMb6SG6kb4ZT2FbxEwlJKu2TWYUPQ62hM2vME23LyxHU
Luoq5KLrVrsywyCZ0sZdWaCiW+YAmdMfQqDoAswL3Qv4JXTrPnX9NXjinReAlQCm1wpetEKzX0h1
8y+Ug9NoH/2xiQ3ABem9ULKbvxeH9YUk8jct/LJ5P12i8AaTLiHTEoiuXtA/JI5ssNMqQnSUtGDm
G1ILVVb9aBxpAOKnecRGbL9stQz07TfDB8emtpJoRaYP2jlIR1/40eoCdC/FEnQgdQnOJwNNV+e2
7qxzB7qthc3Bnt4LB/BiNwOJOOV1T2H5QgL5z140C9nANvg7AaGUFX4b61Hb0PHhDJwyQarMx5CE
uOKFw6EMNHs3n0JOfnNcoSAePOnthNmiAaHScEbnovgIxTBD2h0/TAdrqFYsDbQFXs+6ox5L7pwo
Si/HYYmN/xQ7rsB0xuuUgrNzyiA8YgMADB80Ndijl4JojYw216Cf/WiG3qVwMv8MKBt8bW2eZhvs
sA7FtgKY1jnVy0uW1w1w/zPAs2NPCf2Zsl33lgVaMdNtd1ohPs7iNhaTLrrN7vzkr7G9IbCkyLs/
q1EHSERmhXgD17HzGAigvOl98Itcu2rjiOco2iP/uLOW6LgjNJLSwxZrjVNEkrRqwClXwrL1JHoO
dgdHUPgAsRdVI3GEas+Ciz2hlOQgGDoINwJ1qII0oQhQBR24hdVCqEhLYg3vnZSOPHpdTOkI86QY
B2AVevh2qibR9igqeq/R1e0tWJ4EYPepg2XGK30tFaa0rgYyDJW+Qd+KC8R756q6xZPDrJ9zkKEd
8eZxhRUNhqo7zO20PI9G4EIV2WfWO/WWml/vemNJJMMcRjoVJfWo2d7pP7Tjkp/n6ecORVY7ShJ4
1WezVug9qrF38qXpnMUE3esqawZs+n9omOPcVLU90Z5a4Gj40FRHsn/fLTd1zs02mqlEeV5F+6mj
bvLxVH8eR6tpgG5e7eU/N+EHwS9AR45ifrRRQ6m7QLDDxo93hz6B1tPYD71ieDQstrfVViFY7NwD
zUCAeJ3NulYX26jO8t3vfGe3Of6/0pVeYG/RcYc3MDz0p++YvkqS6ZsQCX+V6MbY3OnJ429f+9yZ
ONspzfTdqmRdqocb0pHL1AM5feki+uoESdtiYzbXgWGRcfNQ/jqkCosUm/rGZGibEQA0sw9ZrMpy
URbzaVbfRZGBdDRjvLeBYqMyzyGzz3y12cVHv/30vkE1jamfNuskG8fl9ObhKsApL2fnvM5O//kv
yDTvwIgdQLvhDu16luH6puECM+tXGAd7GE2/sGvvMTes9ALU0bxzsu84FouWvhNVT5XJnR1O7MHi
B/CGZ3QSmYtOA8tEa67irMq+y7E7OqZ9Bk2B/AOMmODKQfvBYwbbBSVtDAWxMAAbJF8UPLkaOLCa
JgPDG+SCgWnrkQlrbMoF2LrBlztETXVEgYK+Ap229+ig2eXRBvPWjtVls5h1Vd1q51iO6wGof6BK
VH4SkL62ya0zSTR4HIfZpqyMXeWG3iPFc7tma9T9+ytyQTMxMHyE5k2XIB35dV73FAFnEahoxibV
DP8lQhXNY1CzV24O1luHkqCd2jxYkZhobFzm3hBi6Q7r34NknKDPl/vfCsUHbDdl8wQMR+mlziNP
Wn4qvO6da6jqBeZNvNC6vvqCohpzVdkJOwCTz3tPqyWQtasv0gALVwwqEcUoWX2xwupbjH6HR/Q3
Zo8azpAAow89RcsevzgbwFKrOqjkuXDQ5g1KxOSTVY3VInO15ns/Aqk9se2//Dp4Qh1c8mU0AOpd
Z4b96LWave2qDFiIfnQNB0/GNXz06uckzc4sF+WbHtRPBlqInobYQ71DilMhpY7bTp47qdUL24vK
N2HhhKsa825N1tpDGVXWm2CbUVaUAz9ZKkf3M4fpBosw7gMwnTtuCuokoQMDvkNfjcKjcGSBtpes
8opLjw4MfFdVhD0kz9lON17NyKsFR3sD8HBfmRoGjnrcQVrtqbFE9moFWrNOGc835MKLPDtmuFUt
SMxy3r7grZME8q+iIlq0JqidQ7qzN7bfb0QypFv6yr1O7IygcV7dinsnU8tBTKF+FZ4DVhecwGon
HFePr/hJ9vQLrnFL23KgJG1Byg43hNt6Z19YMRxm6I06AYRVEkk0y0foWSYDA2TM2Yzf6GsgB6vC
PgOJNERZgK8GfTnX0L4eNBQzN91ec9IB/a0YTJvlh2rM9sIVVxXpeyWmDGX3idviFdEGCcVYpeOW
vggjz7p9y7DnQV8J+jjZky2GNUnkYYfDk+4P7YUkCs/QWj6FZ+hVAsRhXi4Cv1ujS/2QiQLvPaJp
H7BJlyxwUCrfSw3d42MvOVbVpUS9PjvmpS9eCou1D6wC0Upgo5kxc41/dosqHE1QONDzrDXHvpgM
Q/wlMfReboCrUhwdUSka4rAsjgbWYuCPVdN7ubFjhto4FTBNSxZ8SoXECm3WUWRadiWqIVSSD0Ek
uznYylxvGUvHPY+urBY5CkU2Hupcz44aaGaW3D27LaB1sKWwnfXCsJtx1UowomZNmKzJD12uAJCl
uKQEirxlLCj74MXQkwvJNrbcV6IAhqaHQ+gRjRisOAztMGzDMPtOfd0V9YDH9ohKVfC7kDg1fAsd
bfoNiMsnF+XXDFsrA4IqaZowxLbKP+QR0fd2DOs3zwSiLra0jWPql/XnBiitXl9WXxrZR7s0GLKN
o0Tb1R/QlhG/JEBRvfTYTgOmtld+mcP9wUGP4cC2kch/ZCkaTIUqsCxVYWamQCs12wTOyyzTjHxU
ROmyEW3e8CN9arjuAghEctWDPm+ZamH4QrMWDcvTrL7N0NLK9iO2bXegYcl3CaAutnj9sN7wh7Nt
+iH+6gYovnTDWj8P5ehfxIiltB7r7KtT2SeUHaSfg8YHnLSKHEPTemPp6zCk06e9+zlmkT6pCXDp
3RCMZz6W5qFxIvMQxAII8kWd48WDpxoeVNj4QtcH7JMS4DYwka+hWcZhkq8BtzS+lcSonmm/035I
rvZRaobloZkMzWbeKEntIDrfiYIlj7bnbjIcOm0GhShEQ1MrKJSbKIBWsPckWqB+1d/52mFdAG5Z
1zdtoUBRbvEoFLB3DniKH3scCSxTB8X7TpaGr1YTgsYX981WhNnWr0W4obttkGNXSLritdbbBJSx
YzLdhefw2AN9SWhqWxb+CbLD4Zmqy9FEO6L24lOjSs1/ClRKDiE1Tf7pp5tlt++og19bOUibl7b/
GZ3O2ZMBeJZnn5dyLwC4viCRBmwSAFOn5eEWmxlghFJ+CBpcrd8DfYOto94Olx0YQ//IE/a50HuG
RV+RnmLSA4oLR1jYh0EFToaKhaZgpzqzeYN7IPiG0jAqV5EZYWWpRF3G2rbP/YeSXEhHfnbDETLL
mfkWZkV8JA0lndKp9He66WocYHyrVAbpYixcbad3pTzSUAMKr1rMsgl034+yZsirp0QLwSZ2xx/k
POunDAFQ2Jp4/DOpbVUDJFo07cbts/TA4IPqIdRPKVHoHlA44mJJEg2p1KvtXZTlNn+kbOzRx9fj
Qb5KjDROtyhERj8cIEaBnIO2xoth9ZtYG/qDhsozeTAHbQ1c7/IpcXP/JRPVgrpKbhJ1lZBkoRqK
ulFu0mz77+IKUaE7F7B7SwGM53cPHbIoAnhDrQqAdphnLkjdjNj5KrHzt2uUlzMGz74rxBMWXN2z
m7Zn8sJLK2oPnVZbkdjmUbxUYFkoBZ1S23rZvaHU6Jrakzl/MTU5HAE20156NYDKHQ3zBQj1UJCs
G3gzV0/yzm8uhRG+VgawenL0rJvboEVPETCgzuQxOYfohgX+c7ABto5pr6bYCi3r2DgDrJCJxvEt
L7BlYRqoRudiNHABlZuun+NgdLr0dIXbBckl64F3nlWWBqxePACiyH3B7TR+qlj/4nDNegsMP0DX
VojyTaOx33qrw+FiN6IaVL2S49xyCipBtQAGdHPdoHYK64IdUGh3qJ7X1W8UGHwdFt7TgP8YkHrl
I9D4SAnSFUxx4nEKIru4xszu9zkmOQ9ZsLTjYViSJ+WkmYVt3Hg1h8+W26eaLji70GxKS9PJXneA
4gdhuhPwSxDa2nZUlFJxZVwHQ4l3OrLe6W7x4OdzP8RHcfQc+clwICgBfyjBbydAiUyiqWrfisgt
0LTXpkvS0WCAJP4cBODqJeAC0kW+uTfNzAcygap3wy7YNRVlqQwujzKynxwwRG4EG8ZlF7EERWPY
sU5i7HY0sV8vhGHET40agsy1sUHuTx6k1wNwCdkcX7YKooH0cfytGiPnYVZ3sXay+2A4zapSx+F3
meTWntKTQQr0eAYJK7fzdfWyclYjSHPWgQ/GABAr4/M6o4HPe7sqfV7816HY8KZLe9RAJrH7NP9Y
XeHV+7xlBzdp30JUCHwxRWatTWb1OxJdARJj1o+fjRJQ0m2Nh4Gv3Mq29YH+PwxnB+uM1xIpSJ+O
bbqtgioEhArcGMr2wqb0XqKw9LAQAzEy6YES4y7tyO73JYrYQLDVP2iAVH1gHauXzK9Q59sDEH02
tGCOUnCt2pYMvrLSrOytT06es8PsS/rYzbe+WdVgFfmZnPTZsC3cIbjMavAUiLOwpeL5uialz4Jb
SnQMqvZiDui0Mq1g4Tk4lQVszceBdJ4fX3W+tRIoZD3+zrX4TaQvS5wKAXtmTju76QXqHu6v2ptZ
jBKwEcu6Xz7NnSgplrJmTa6tUguAbCQOI1qemGkvBjur94x3CVoN9WsFFRUvAcJqiXoO+aGoSa97
1OBXzYh/DPhSUVQair/FZ3YCxFwN3bRMAHSNEf5aIdNo0xtAKoikLLEnoiDa7NswRFmFI8TK2A+G
6PdkoOjJe5K7Kt9Fbf+Vmmo0HKY/Y5+CBIJVbWqnRl0l+OpJB4Az+5mDbOWGzJqLsV5rpqajtRww
rDbuyc+oE+SWH72UeutioZ6iJolaOnyUEsSDj8MUvea4n2nxojIavP2qJhAaMuWHsy22DHvA9JGu
cdEcjHUagiMVLEjGbip4PAITq/xFg0ZHO8xUecnPwbzNZl1AIHCN+w6YzGZDelLNHgaOxI53OrL+
YzqKmBNQLGtBIeGJ7AFoLfm16jm0QSYlwKED0jwFENBpIFoCmGc+FTkTiEB7082wWaRr6w2wYXd1
7J1H8AoeDDUUoYUWHprSADI9MGnHVhUCpVRNZ9PkmoOVEYs+6V8TfPCSo8DGPtJTDO7i5k7oDZCD
bb7S8EzFX61jnTh1kdC0jGO3XFXoH8Z7eLmbOjZ8O+oW01S5U9eH25njIQFMgNNxWFHNXm7MHtsP
xNdHQ8v8i/RRwlSjGqOfDET5h54VsAF5AH2+ucxUgB56ZLZG7D4HGsMiSI7GASemQI1TIs0KJdLs
d+K/CLOGzMgWYd6/ibB46XLL2LVYrIHwtgcmlqGXnyzLxn1EBMU306rx1MDh+KJLsu1YyuGr5qPG
Qzqd8do7XrE2hJ1cApGVe7j5O6nl+pRJBnn5yY/9ZpFxIBk4HR4urpnbp7IdroOdjeY6boDWRzqy
gmQVCO0ko4DFPrWoqUbZPwf1pIZ6w4WboDVKuJVfrgaB0zz0Hk0SGSjF0JSgRHB/TT4pUcgJkK+q
r4A6UhumDij1SD+xLOqOWvNXntu9WJCKBl1hjG5qtkFFGD/FaDk6kX7yS5UcBilCWJeuAuAgH0jn
NK0dH8gTKNIHtEyn+xRYRLU4xC3D2hedFf0Bi3HAygGHoAUSOsqNfAeULECxRKPWgmx/05JCjMID
faoKntPM/n1nC2DUqoQBPttS+hFbCTvHWTNKxqah681LO7bR4U5PIlf4AH7MzrM/6R0HhTi+LZZ3
ehLBENvt0YH/PEkNQM2KzubhCJQlPz8zbWwHdx+hnHCvKRi5pHQfcJ7Xb8MEEHO+Gmhm1RxvhppC
k/sgk12CHbUR5bB19FghzqkYcqSEUZYX4XJORBaU+uHM+BYYEHYd+UxTiiRP4Ke3m9zjQLhUT4Cw
xZrVt/Cer6RRsHo3un39AZYbaADHBvxjyz50mjUdfEYl6hw0WVUrOhUFAuP4LPH3qbgeJg3HK2Js
N9mOxDAOk5OM3O8kTcep4IDo0Yh7nqQCaMiUkETs/Q/HvtHeu7DjCxfbYtPRs5Nn2ExTA51E09BH
I5jTlMtA59GTpeiHM1mGFO/Dsi/wj0wWSjEHzrln63yBOcMA1NprBnIkH6kuPWdIdeN9aEFJPVi1
cfKHONwNeMsCOLgxDc1tRrq2tXWU78GXDdXkO6tmD5qRG1lvvqSnlCn+7Q7XLVRXJP2+iJtXbNPI
P7DGYisA9wTHwUaBg+eVrwQYM+sLQ5Yvyt8zneEPdwCveA6egRGd4cu2tLd1gyUMUrVHmtmKgSwp
NbMEjAYsJNNsUs4yxZA4SpR7oE21XM/JyOASdRkpS5WMZpNylklJ7in653e+Zk6fadbffxy68pTG
UZUU+tTtiUIsA3M0HxCx68zcSjoRtsDbrfQ9SfMQJarXYJabxAIJrIU2u0lJ8mye+WpVwkb07lLT
38Frwj4HMlhneu7gNCG0NpWWocxUibGtCtBtC4WLWXRwWh6sSC9N/nnEe+gzAOPQK+xhVUH6PC8i
YE5oBrgWDPOZFdGr6STuF88HVFyjnhW9YVx8VqMFcIyMS9zq30sn78A61kaAK4xz42Dx+OQqj0kn
AH+2DLD8xurf1QE8fcuQLI2QjVc3OzdBNwKY7CVlx9YhzrBo2rbmqQZ6FWDDsR+3oOvK3Jc71xDf
RhzLXITe+uWAczLv1Kl+FXTLxgBUMEuUCN9kUubUsEJTGsg8eZKMFQUI5mMwIpH4r3LMiawIO2uW
vgHKNj8XYkSZUIpdsXWeAu8nNqKwRh9gaJ2BIfEFiL7FLmyAs5umgQXQmITpx7iMV+RRjYV9phm5
0KyT2TUViTTk5VNsfo5jPXluu+ZSMsnRxqMlz2Vjsod2cNZko6HC02uXyyFazrpGCnfZMsZQCIcc
NPyayMBLFzDYXGBs5c9an+LoShVD96oC2qUCa5oKKrumKdl9UQPYITAqoEhnwUpmjo6NvP7j8F/p
cCBxjaWw9iBliGf/LeO/SFaiUCVbUAhl032sv+u8O7ceutYKFnv7Pg3dpzYUYoHapuxb1aRoJnL6
t6zIxcYNdXNZhQb2v8xcW1hAsT/Eql0X8B05wK6xVRfXDsQiio9YWw1AroZV77FhFwQJsBrR+EtD
3Np7nDokj+SvG+Ae7k2spcno4DVhyoaO+XYfZWG2cAlwyVOAS6MGcGyazSIKCMQCpBPxmnSEeg2m
t+aYi1eeVvG5kQ6/0AC+tgJn6M+l3+JsjlR1whdYtaIqiHRdWu+H0rQOKLPF252fa8vaM+JjKlGW
wNWBAA1i0LYdL6MD6cFxeNWTkeU+KOibwFjGGv7BVaNgk0q2ZFGTP/h8qM55YnjgrKjirxxloOi/
5O8iz/GcdtNu5/q59Yml8kIOXowFEUUCHhawYXp1LjlwlosOoJNNz/8kUHdCaAecKEASrULur0fB
ETccbdEK8LSmo+uilwG/jRNe/VFIzFTLJLpEgu1opy8kaTFUCvvqF8de+uUyssZu9cEUtkO1S4rk
uVAH0TQkkcLPBxLalg6nZwPNOqP+4ft1upskdag7Rem8vFgNWtm0VEzGRKmcCn1zQJCp14D/kXho
ovk3d7zmFWxfHsiGQhelcV3zCnhcsFvHIMwmK9d99wm3mqUEOmq7BNrAxS/N5CHMi/bVdqthaQ0A
KyRf3UFPbsXRVIdDSey5oB8pqgAZuxgbZh5toPod72VWe3yPjf8NWWe/0WnxICblNASluXHdlJ3C
Qk/xXG274tVMq3ptCZB7cjOszvOQ6UU9iQKbrWgdiCePWX/vC16vrkuBpWvjz+F3bv/iWnaLE8mY
jfqyADAE2kCreG3RDx0I/OS3gXS9W+CLIeWdD4mVymCqDOSilfQ1ZjVYQ4mWLdbrtxTHGR0aYrzg
1DRdeMpzByf+TbYeamA1L7qRh6dpOqgpyamhLXUtDg4gGe/rFQVf3f3xhw386e0kUsbJrIJpZvjM
WlZRVawooRcaJSDZdn1g9sUCHA/oo8GyC+3M6mZtoncIFfRQGmqQ5ERKMnNn/GEUqYffH6y/T/Eh
2zQl3xgIgqvCV9AnpvhMYF8VMwPwTVTZibW5hodV85nAxLoMoB2/0f/Gn/IUtzzcGut95WIzVtbD
Sp04fOLoXcVZUr8aFajtTTKUlMlxspn4u52kX+NQOXGXZY5TNr7V6mics85XVNbZV11/lm42+jSA
e9Y7MwdTIiuBWpSCVjtpKi/cNWOVoQEKg+HkSbJpJcuOgz6CgkXNfMGdYjE7efkgtzjjPrtk8JoR
NWazO7g22qVvDsXKb/vmDOx+sUlRU7Aou6w5k45mQ+M2Z5o1MqqPWo2FoApw1UAzFL2DMJJcdHSl
WUVj7CfdnIVmdeQk2NkCYP2dYb4GfQwvC3Bsrz7GbKAIuubtY9RBW2EtD8iCEH13B6NxKh1gLpha
NA0UtWHI2/KqJZPbaeBOZU5tHzw+oFSNps6o1/56QHMToE18dAmqUL/WHEAVqOmUUPcNII1zvPNG
OiirOj/NdhmA0IGpCICGSekW8XPmaarB1sweyQ+346sfiTSQldXpc+KjZWbWU87ABzo1N5p8iier
8s1wynYMFVsWqbA+/Hl95RsSsv3Nb453y4DvDMfo0IKMzzQbbr6zfs6Z4oa9Nt3UwZPSBL3wuid0
GsNp8QeQe+W6AyE4W2eh2hn4IEt1bDLwcIXqkDV+HHm0YyGPNJvEYUzBLHyzaEYPQP6qwe1I+M4h
rbgLkkoMJP5ORy69LT+hWRec4zffu1ASKZ5cUvSZb1FvHYhkn5YRB7tky7D2coFYXDOU3LCPwwdd
H0R7ZvmTh50AJKd0nCXuzfjvJLqGrNAf43GcmhGoR8E3AcZWx7l5JLHqwfCNCspqRaLG9GYPJGU0
+2vZarT0+oyDRfMMsEq2MmWdfUtfUOwbfp3tZWlhPxUfFhhCMgR+XM/y4iFvSjAlDug7882k3sdp
He79TrOORtLaW2CRdoAzYP66CIr+yexM1AbkmffKYj/CuU7fvRc2oO7yLBFfgQt7aWVv/tVq+H17
iu9a6z+7GvejhR5lB6PXh2+VNnzVfa//EkfYXM+r2Plkxx4AlfAZnlmpKvJvHwtVf+LUDV41fSzD
xolVY/Prx2rA0IPiQzNXW8HNPktr99k2xviS9+apUFIbW+5zhUagFXDY+ZZnuG0DbsN8ypJXspFX
gq2RNYAv2JocyGBXA6jE8B5NHlEj+E6zQdxAFyEdc/pPZiPQzqwugndZ/zB6qGWgHOQhKntcuINp
7klsRRlfYuyuzldxcj9ahUXMt+Qhjdp8CswXHIbLlUwUzKOOzcE3U4ZYhyf6Exuc7JvOAAvahTho
xzMfvMRak21vHrbo+NJL/WDTE3h+pND5eQlcfZoVA5CLNbvSliTifB6IqATgf/MTRdj8v7hGUU+O
+t8CqLBFvv/+v/+D+mDP8bFZ61q2ATwLFC7B/oFsFH91jq9jgfBYO8lO6k3y2fR5D4QXzv90o+Bx
lCgYdatkUYyJz1AnOK7MIIt/hJ7+3lVc/4LTRlBpBMJ69QC4thKjXT9mle9tgNY/nFImcdY0hMXe
9JdplbAdFUCiTnWRlDx+8+IElLvMjVakr2sd5wVAh73ImnXPPOYvVOmjF6G3NtCosouxmZS5mbuy
x0x+CSLsKmG78Kuo0X+ioaAa/++yeABwWLyslSEzAduYpePn3NQsrJX0g8GZtUAhiYuj1DZ/8DTr
IdFy99Ufqva1y5aAOHJfSdPZ7ITt3PAB3PXOaxA3zwLQc71CNnH1iF94gR4fJQk1mACHwtlu/YR7
AbBL0hgVGS4z97XV5q8j5+1WT412RQFeWkuwPNQxaAGdAr2fVo+aYidbu3j5t1aBlhaXqPD7JVdK
Kxv/VDxNTWozoAmCix6kBrIDEHsL9nGTapMcdK/J4rlUdUd2CFrJpCr9ha4qkGggfycf9V2rM9Qy
VccSaMbP2YhNFYkjQCcDhjDPE5Qap9iGKwG5SwOJUZrKEhw5HtaitYlp3sm/RCG0NfkAPhSgwWq4
i/tHcUpFYZQPaLN/BfoPYWC3MGq9pekUHnpSNffDMOtwZu4eZnH2u9P9C79/4eIXQbvFAvb0L3zp
o5BfM+KxjVZZ/Aj/+VNV/cloB+vgGW0LHnutBS0FZjSkrtkewVvUHmlGulLaAZD1MtAyQD/7zqGz
4S6UnPG4x2brnNmJIgtQdd+7OGGrULXCJHYK9EA10Oz/R1eXwcoyvGxfee3f0jkZd9dNmoAXzNP7
ZS1Y8EfX4a0HLDU/hMsuRVAXX9BAjtqZQQwP9mAAJDzn5Y7rsfuYS3HJ+uaUOt2m9sBiAc4PVD5X
mhcvAHAUjIrpOGL4exdKA9vkZf0fZ1fWJCfObH8RESBAwGtR+9LVq9v2CzHjGSMQ+w6//h4lPU25
Ps93b9wHK6TMlCh3V4NI5Tkn6LdFaYqfZsJPmeizv/LBfk5CyLeX9vjHiBvedy8TyQp1hvIZu5Zh
u7AtUM9RJAquDKPL8G1xkXUZUq/VQNXZ4za2dom7gWJmJoaP+TOnA0DOjS8bCIvjYKIXfFNFXKwN
iObNMPQue+Z4YXhPOqs869ifzjB0igL97U/scPka2cbizXBC1w9MICmkGg7AmK47/MZ3dt0Ub9pQ
ZVtppd4Gp5Y5gh1j15qmMc+tc14cwMes+zS3z2R80r3YWtFcA7rEl8ACLTbNNbkT4cbIv2dT5v2w
DPuqTbihS1sk2yl09COyXaAR1QBQH1E9/wOys2OYyR9tN1hgSoT2YVHr46luOeS18b/Hg3PAY7WS
K0/HcweJU+8R54PpAwgrN4spANDtUZkqwAgfKIqcgd6Cnkatsdi0FuWAXoJNRJKZ3iPFpSWeypxx
KPSoK9ByHdieT17OX5epbswLKCzubOn+AHUM7khIt+C1ZZgunWdBedic+nqD/VGMwjMYqWm1rB/W
TWmbfp0H2CmUKW5jbtdjw+8k7fY+0tKaV8E9Yz8HAh6xroDJOVGc1TvThRW6te9sm6vUetPnUPhb
i1BGX624w5eXNS0kgarxa8pM20+iVp5oyNO1x3PxVTeFcxrzokW1ZQEdz4o7qyTq5LHuq2CL53n+
ih2+BAg5439Z+NhhM5p/ZKWwfG577XWJLYv2IxaCSMZ7LYwDFLaBoASIK14DrJttvcipnhiq4Y8D
CpDlBWrV0Azq/4gkNsNSNeDt/2i6ULsdkpfiKOR3Q3JQCNekfYgKubpBAXYcL8pu9oXQgDM6cQEG
Ek4wyYZdVqNMeHAA+ixXmuvFTyJw4rXXu5BYUg2HxGq9Nky9gFZGh/qzemzCXVHK4CC62kVFVZ7a
KJsEkLZhTXeqnKoMfOq6hLRdXPMYkk1sozv4rOSZjRR/M4asUbty4wmHZAarOsAipHNuBfBhZgqk
x43RAx/0mdxaB0oVMM0xvnOdgB0M5r1QtTHVHZcOkE9V0Bqblp71qMS/tNKcLhQSev14VhNM2jgs
weSFNCFUXqG1t9SB97JEold2A7gH8mCz1IZTj+Jm2H0R58MKnBDbpHI5UMMARxQKN7E0ZGMEwPid
G/i+j+jAaU3wgU/DmiYvwTjtOPXYXu/u7PeLpurqN9MiPd0m0B95zJoI1fy59bNAR+stE2LX8Q6/
+bkjBlg+Y5Srd7jxnmpd6JSQIwNx4lxR2VU/Y8i9bxO7ykDE8VmDeVdSeVd5+Tk3VGwuNKKizZtV
cLiP8ju8chgP1qSVRyQGhhM1hSlBCh6bH8MxR1EY+K42d3Ya0gSKvRsuK1WpmYJ/Uy1qoyx96BQ7
lroYziA+LkHD39mWEF6MfgjhbVB7Q4cXSkvAOjoomadhVkCRd+yiSq5pPHeH0vjJwJq8JZs+sL1b
gzdUdMCVzsQQqJopTzSm3u9oJhYb6z15ct5+F7kEgZUYknocMtF3cAQZ1sOm6aBOd+dYgAmEZ/Bi
Y1PHoYnMBfAPC8RBkzFImSK1Sgn40bzKMhdHRtV+cNMGhLWuYkxCKVt9Bj8e2FqKgG3NIPibTEvT
sqAGNQ/ClsZWE2olFwO4AGraP73kWIZ3cydUa/h4pgAspxagyy7By9zFEeJNajVoSavAzto6bifn
WAFXejB62W2ZKDtsQqqT3TnJjyrF2wgojN2nFgrgh8D12i1eBLt35hSnui8hI6EiKtCF7T/+gAzI
4PifBcNUKjxXDf9rwfAsY3ZXd0xVxFSGXEulA43awlPQhd7JQz7sREMHsLgKcnH/eALk/w49qM6W
EJpBDQqas13uWeYK6VruM7DrP4B5FfvuEZz+wOTY7/ivXEyLRX/V3vBnkwXeqwA4ZWeZWX8Y8QYN
vv8EdboqwtL+blGE+CdSD4HPGyRqoh6yQCzsunWeifRthLj1nnmG5dMwNg15qmMbcPteT96YjIbL
WIR/kbMaQRtbuzjBUjM9UB68tCZ0Ur0mfSNTHly0xEx3g9bUEFYJXqEu5l4iBYK0igG7kB6ExY0C
Qbqpp4HYTEKIR3n7tOJPfIKiaOBM+1JVJhZ4r912OKZez7yrfdd+jIlzlahZI+Z+DwotAjuE56L4
i9BjOEwc9iMOApEKAHCMbFoNqIPmBM6WbNTwwbqidCQ40ygSaXnNXe0Ghna3EIXJHOxty0I9dn+2
1UGkC1oDqPX08gyKwUxmjzooOfDSy4Nr38UVyBTVEFmkAHWW5UdMxTqkc1UMRLdy1E7T/6TquvdR
8T/1ZoHMTZG85pVuP0xyQBWUste5Xm+0sZ72vRqO/4QJp7AfRDt8Rza7O5FGG46h8ofICvBen8bm
MRnsA9ktISNjFUrvva7j5NTyTJ5LUPDP+NnYdtg27bpmSwhZKNpAbsuxGVSRAZitYgl9HMd69gZZ
vmRGuqOoDhDB8zSCIo2GtIaIWLMd+il/Nz0Z+7FniaMB8Bl2uXm6JrEAEnXkRt3vsqr9ciP72Agb
WlTkNgo2rUfU14ukjnziPKcGSkjTdWgeF8p0Mlt22ay0BtmEm1CgKXcA8ETIbMkP3nSGM+irZT1S
FJlt24a8hNc/OMXUnmuodWjR2BxtNSITfiX49rv4E4hdDzdwGiMjMe30JgPNL7x3cYuNHLSU1LrI
zxob2VU1wwoHnPiSe+4uc7xWzh/hP2KWy9DltTj5QmvPn4s+4rKMcF7BzFEKpXxUZDq4gyFKpJfy
QjrpTTyKywi+kE4Hdzs1QQhNuDyCqB0NueJ5T0XxaFvhxySGereL4GyeBJbrZM29zlv1Kt9Oja3S
8dQrkOc9GZoD1TUcxZI9BPkPaBkpZDDzcp4nggIgLpozdz8nLSsGbi1WYx9g96eWvZlCMUtgT+vS
JaTkqDJKzd2Nbe5SOAC6+DDLTAhsr3DiH+DQXjYHEqWMoaTqG3j5nIdjXZg+eUmIkoaLl4L/n3NZ
Ch7nKc/3DKU6m4HOQmJF2g9ow4TzdBhv+PqTugb+A9C1TY8M1pU4/KkhB0ULNfm/OwqFpKinMABj
og9MI34FKMTcEIw0haJr7P6RlLzeVJrUj3abdc8mUocAsUbRnyFoMEFj6CE9UeP5bFfic+KQGM4f
UR4288QcYPFHs3ZfdW0X53V7sXJAMPrYCfs1jbtR7MYmHY+THuI4G1DcFhXlqstq8VfEQx0YQ2VL
PK1bC7VEPKTAQkLdYzMHzsbPxY2JIeVQO5VP11quusRlqGYFch//nXzScSmV49nx3vu7BYfliRrT
C1DtH8uu2MgYJ4YVlzoOlrxxOtnkoi4TPIB+s5bvoibw9vOQ5gNwNEEK5XM93ut469PzothwlOOu
yDMbl6AONbSnm0W8KMIk5KR2OZJBewq8uS6Fk1Ev427bD9P3QeB0kKmaMOq1oJ6ee2SDJAHQRAw6
PCrsLpaG3afjX0P+r3GfV8zt9j+umBZhjgNjdTXbqiK/tUW8AY5Uv/D0W6Wk16gh/TXqGWA28dva
Czd3DprkWV+XUJ7pGlsFAgIeOt4LOtGAySG2DqXR2ydqbKjVnBzV3Nl+NwTEZc3AQTfPb1FWfjOL
JsjChi691Xl7IL5fo86YniscGFx0HQ/GxNTYtzqsoeoxJOPFLSftuW6jZ7JPqV1uZF9VhzENta9T
vCMzeNa7vdMkIfAOjfktHaZThB3/qwyd7oxvIvLytGoFQWJk1MKrixzR0xSbqGzC1ZBcBTKHOyDd
DKroHaCnOd4dgmZX58zb5mpZXZ82OP2Kv8gpAI+WWyfrKcefs2YXnc9llW7HItLW7uhkL4FVoULc
mgeDkeUvViP6daWV1pYCBLaIV0DU9lAty1/IJFki/azV3D0NjVj2ZxDwfaMRNRnkBVYu4DonWnKa
TPeQ2zHoJNQ186EvH4scO8jE+5a5xXSciIRFQEfENxKldk5jJwIQLWVK5RBU4Si9KrBrQerpiThW
mspaycERVyJbCU1UOhjJ40LTohbn+jgdyU92KcE5rQqJt2SbGV7URRiqfvzFRhfC7XGdIFlqK36y
hXeMho0xQRm9opZcs597cqNV+gTOiH/m3E2kITObcafb4WvXKHJk1dh1D+kxF+UqoNOoN9zM/7GF
VswhBUF+UxVtt1rzThN14VmAY5HfhID3ygNX+bpOexQh4MkyNxPQ/ccU7yLZirrkoRgvD7R0Nt74
b7pRriNztyzlFsD0gcHnXYDEbs0FylKr9GpBPwk1nU4CzT401FuGOi7vo2oT1UYqrui4CVUP1RV8
2rl6kB5nhxaAvJ8Fh2W5ZRHqodBP22utvOpxks6XidwXFnrZ+S7y7poUvyxLvThi2yGr8Ork8mZa
1d7ooGqkt/Y4932jkW3lzqW3dQsnj+nwM+DY6zhJ134Ek9vNrXnGHFzJ8YJdIGgammeUkoB5Uh3e
Jrp9acvE/ZIJ29rqom0hXo+IImyLFb3LfkZY2WhtnZzdRtD7MLYDlzi2nPs1dA3np/awI+rYxGF8
7VQoEqBhIdnasKb6rQxjGxnIVl+RHaTcHBh8tz4M6n1DT4z7MKKr9aBM9q9hllqNptNqv160H8Jm
vqjWlx8XXT4bLa4uSmGVhkMF08Ubn6wTMFAb+fgUj4Y4jlqBP1K7dN4d2zs0kUyRLUcScEi84SaC
J+BuKtPQXVOhcsUyMFFwJPeo+JiagSFLnjdTf1hsgQmGowwCDDRrHAb71Ovx1yUgxY/qf1kILP7A
hjc2aIWYOx1SXYfUutaAyVI1rfRF59QvZOmGNIPUYx8B9s5BXfkZ30G6Zw4x8jm+a4yTCJNpL6e2
OYOKyVzX+B/80eV/0HeFo5LEjwrBHv4lQEu1ERpt1UcAxwt3Dh4Yr+xROIAjgWfTBnFOI9LhR+5O
R15X2rsbTtpG2rlx1LO8epxSC0IlKqK2E3+EouAz1HcfEzOOz4UJ9iP6T9F/BQJwuw4b5EcyoQJ3
XMeo8NmKgEHoEef/G0cCSRsoTmfRamA8WMZkpMa0+2AdV62xWmzU0xo1hbq/m1cPkF5ntT0lIBTQ
8xQVKOynN9TVXjqB+UCNzifrwUu1+JDy/iuZUO+rDupViGPYP/GmUO0prDED7C/CIpMUzBKlwdMC
90p37RQkwdXNnf1mnFciAyr7AaR9H48KVoOg+T8eED0LLq3de8fCMH0nD8XDUtbFRwmtOscxQeKg
/VMXpuLAkRUClaBsVW5wEPfsSjz9/RZPSv2hDtIexRN9tDUqUXTH0GnlJfNAFNt39XG2QTB0ONYG
8LsSXAuzDfXYyVbDqzBKxszH/84OhzNQxf72S/WHZ7oGqF0d8K7quqfrv1Z/WKIBgdXQhNeuQ2Fi
5mjdSuaoCUsZTzeNyvunZqhpW16GIR4cHoPu6FisTcj7ght0YNp57pLftiyUQUJo2Z+NHsO2fdDc
LN8qWPKOygSoJGCpFfjX0oG2t6M1znKlv8y4W2AuRbhby6u0+mC54hICu48n9ZR+u+tZZpd9EzVS
3xkX2b23LrOXIcqSLXTItJM2WZDpxFFSty3zLjiREbo9ONSX4Yq8i52G1FjGcK3LlD2ycRPrcvre
l57YWZAS3tma535zrA2yP/ZqFDVew6wCWGZFlkv1YyJ7BqmL8UwWk2MrGHkqPacCUteNj1Kk5opq
03o8vU5W2/5tj1BLglZQYaHuTXd8DQfAGzKWkNS6erYRXXF8aECyBLQWZJujQWgeXfS69ckGxWIk
oxIJOiBU0TxQA0y1BcLgBliGsinYCun+Dw9wkkiZOu1pIgdF6149HmRevcw2/OrGB5qBHFrgAwjm
rO+XcUGLkEiJShhRypXQinofSj186Lzio6nwYhe0NQ5eYYlCvJLiBBpd9V4K9aVyWheFgFI4auWx
MX6Lm7I/4jjGXeMsfPxuQT1Br/X8Dbxm/THqwQeY4B2O7J2HHXKN4/9dpX68rgWwMTKo+hFnofZL
pOdgRexBaEXeIoSmcc76lW4H2jMDYEPPenYIGmdcO6Ee+bwACmEbRyAM4dgA0emYMArwUZtZZYIw
owE4d6GvLqLAVsqg9T6Z2tTXktQ+iNi2X4c26sELUTdbGo5GOO2Zg19r3tf2K9PH/gwsMCqy1BB0
itnToOlzrBZhfjK2EIvO8ThQAT2Lv3aFHlxoMbpUWjTWqtKdSxnF5hs1I7Q24nWLA19uryXwt2Dh
h24TNCOaq8tw4gSOFbD6w6SzHtzVGlgCT0XazjZbsPpqqiaPy/GEo4YjmbIWd7ihidJ94OlKAz79
kUqUWOljYlyL0BiBBJygzqEgONAx5FvuWPrKAI22YuLQ36FqPZ1JZ93JSvswZQa8pMLumsON11Ze
mjvrrHN48eOezqTgvsx1e5BCC8tiK83IErkDyhbEYx2UFe2A4RSnUcRV1CDdm1/yfMxReYzsGXnD
wop2EbdBmxGLaedkEWiptFj/ApGNo6NwLTrAfL5gZf+gBwMwdlE1+ISEgX7eng9j9t42UJtCAeC0
nd9NIkWtTM8tamYe5dp2+43ZqNsnvbqY5vgAyRaQY+Eg7YAyw8sCzBk5w5k1IXD0EEli7GVn7wLP
KXopIQ2vYDwQbxpWk8CXp21BxFADFn411c2DekUZyXMXdlvHTjJr9pKjBQI5cFEStsSSPTAqEMFw
4I5puDQizywQtuESKut8EDl4/IKpa1juawzkZXUW9+dWNX2ub8FbxA8dQC3nTre72V4YVZ+B4AMh
qZN2GzvVptUS4/Ue5DiXMerepr3FtMbPkABbD8Zgg2M8QqqZ6eC6wIgay27+rGt3OqNSGFvAADo/
WVT9Jdr0zYk6PGV5Hel4waOWsLCwaSbO43TouPo6BBzOroZvQGxmw5sBGBeyCvrwhnOlj96kbA2K
Vo+NZO52AcYtODloVEAmmTyLuzNbW4k94ndJUigLts4mgZQ5fJkJsDu+ChbbTCAofwDl6PgwRaLb
xJmLbMNUlwx4NmVU7nKS38GFyfdkkpaJGznQ1MlZBNZ6CaNeAJSAAcFg+r5QU6fVS9Hn1T5WX6GW
uPfJsXwLP0Pm79ry3aO4HniXqu3sPUQ42THBi/QxVb221Xi6ImO9dMnfCGni3LH5jX+KBgdEeGqV
m+681s2yyzJ5ml3DiGuQ3sBFb650M52iozQ7dlhoH7ipcQ6g83IGo8JH46he64xvKLPnO7KTaYmg
CTR19kKM4y5WjKABsSHFui00UBGjwD1+qIeseI/l9xoEQW+s79tH/MxeyYoDVe+At/kQ9Fo8fy8n
K4GUd5nsyQu0X7rq+3WJbC5Kyz3vmUGKaSWwXcD7LV6L6QV5fhnOkvBxcOLmsLw0L3HMnvDmAVAK
iLMzuRFxFSE9QbnZ4JqRQmP56zBm0IKY9ODKYiAifRXcODxZeQa35aWIUSXNgyh3DyhDtlbC4slm
lqIOk+oiJsXQ5vejJ7dE5UGkHkTjwezeRbioNwxifPWa3B8cIGBUnF1kpGah/lhsulqiN7J6M0a4
eayWxecxIMe368xGWgj7XEDcbJx8j7YMUXExasfKcTQUYKBHtiqO3rXCalBvCDvO4z4iBmYFEPP4
zTRrLLUMhYeIvOkuay9rdE0lcFNIyjpSzyUgp9SGE0V0m9gY+0OWNToqnNV+dGlmI5P8WQ9ltTMF
FC9NMRabhaLvjn9vcSycfL8L6WtImkvkFiOoLHS1Zr9qRpedBzmmq0YN01h4j0Xk7AoDR8V+0v2N
CvriRbdHVEpb4ZeoivIHiqxHK8I5txYeaR2ZNeUGZMUTnhkVf4W+UL23LYgxJPE0XiUXh2gYwY2A
kr3+EukSmlVRVGyBRAUDg2pQvRWPOKhAt5J4nJGboqnh0KMBbNx4C4GJhhId0qgg1zPeIDX2B/Ru
wRlh9zttsOPvLK6LNQrtiwcvRyKgdJt3klMECPZDqpGG9zZz9Pxe2qFvh5atELO3wXdDmgvu2NuQ
+/WUd+QB/vyWy/0uZlna6fmPD7hIlQOvi59HuKL3DJzwF37ct/0ldZv0KTqaCnCSFyEoACbxPWhZ
sRnA8HLq8sa+WsYofdOsgIjUZOEvEhSAqrD9WKcnEqAg7QnqUTO58VhDTx5ErNTQNAgto4zxnxlk
v5t2Zyvi8FGCb+oapn12Khve+oyX1jt4jsJN4GT6Xis9870a0y9mLw2kNbT81Q5HfPxaXNtMs3dS
EVi6iQNmTNWjpoae7HowoVdOzJYzFSbRXdJ4CaR5s7vVdmxwwKXyudQNo6ae8Ag5EeBkRD8+utGp
RcnoEynE/2Ohga14vhucw6oYspBk/PgxiwZk9lJnifllHS9237zOqkKm3jrwZFciDriJeahmmIrT
6IwPhjItdmlmbB1khbVu8ZYN9EDoKfXX5tRnEwfTvWUePFT5o4QchIp0aEpDDwgHvEECBdmMejZ7
6cCVvDyRH94YOK/CA21NythbPBTJgRvC9ecXBlS4HMp6BEld7CTTFw0E3msQQkBpeTCsubGYeALS
GLIFn3ZPH9yLVQifohb70GTeTo6QfrpzxK2wIUZSm5vazfie5drXJjCZ2DpBFZ/cNLfTt4GzygeV
Ij4LjYskyaDJHWRS7iEOUALsqrfHwbUc6O1GIDXskyDfDCFH2ZgdhCvQb4G0eNDEIahsFBzboBQL
5CDe+6bT9mZodmtXDRluNVB6ZYAcObF4jwvQF7m5SC801AbcqlHu9WKWNXAhYtxWnVhFxqswgPkH
DVzH1nmMss4qBfy46xzIj6j8fzUY3rRv1HmASoljB1LF7oa6+GDcnKPIP4eSK6asP3Uhv5yuXMuK
NqOa3yIX5kL1HUuTW4CtBhVdRbwJeI+NXQk1jJPQwpz7912XArzECU9zt0Rh18HB2f/vI5mlvXtj
5OTmsxYOELUdBUqXshDJz0mHwiG24rlcNw4zfUA1zVOhP4+1ACPWZPIrN7roe48tNXKX5YSkh15u
pWE1Z+aZOBWRybQL8D76qKdWtE7DqX/XZPdDR4HX31iHpyVKXCEtGjmrMMqnF0NhfNWoR/HkMhqZ
BPwNFCW6gsJEOLXZ4zOCKFgNCS0zRJ21AhYtOpDNQvXUk+utZV0Y1wn5pwQ7QpyOCzzH89rUjtTM
Y3LdjFsLFeir2WcxznwITxfzAg0yaKclnnpko+mLIw+t7OBKCJ/E2ywA62WiG9sa+JjvzI3bjSlM
dpg0u/vyG3sfdMHVCWW5k1SUKlRR6qg4QcEOZ59oeOOh8ZRtmxQUNBQWBdnLaIVAKn3Gk/23M/+Z
3iIxcnMB2+ifa+jwceeQCaGvwPzNz6GZ0x/wtCo83S7ASwGjbU87oA28AxtiKzsKycOjoWVbQkEX
RdfuxtJ84Ib7AYwG0V16oiafCp6vKI7cZKQh9cgmBhOIaRoTLpp61LidLXxnKDOxroYMzMErrxrj
dTzEkDhWTdnXH707W6Akeo3UwdF5mRdo78LJnzAdvG12AHJ1tc5N4DzTq+KvORCxSnxgdD1oOKTY
0QMeR7d6aoC99K6GHJKtcId+diy3/r6If0ZQyYY0BJ4NFJumk3FRa6Rae2ziCjsgxbaAbHt1qeug
gvqqGoMIb23VeKDd2CiGvGbv5v4UdeGmycca2ZC+xETyd5qb7B0zeafAkYVgtanaP5by2lkObmqz
AeQgj/eKblSaS42L3PssGHdnm6fg72XbNGl0ADfxXX0SGebCo6oI3OPg3Vc8US0RC5w/Qa7zA5BX
90RNwpuP3r0t0mxQNwAxvsSBBuQ2+N/n0vJ6d8RtFgA6NbqLtUcv2YRB3s53DfoLn+8M812C/u5T
dUMx6N5CAdW21zrvuNwOKIBCb+8tc//uluKEHvAjkItdgQEWuW8CYc9dbjFgETPrQDZPpjEQDgTc
pp+q26EcJ+PshyezceembecXqoqTmljXoS6JpMeOT4mcbSLhe9MAHwuZxATR+Syojsg6dNKnRXI8
gQuTZb6pqhcBgC43oXSDXa/qEsE4r05dDX4hL7jPIB3TdG+uBsGr1NSeQyUoYljQIhilC1yiW8ab
PDbDsL1qNoRBKBHZif5HWSLlRYlHD5IskNSrmxsbhVEiUtmbGsmzxUS9TztFkYkatfYSv0zKGBJk
UXU0eWdv6Tz77lCbjq3z0ZkgFwYx6F9O2sm3HHOXvBFbvNuBQP7XY/kljhweMM4rumBoRNHBqp0v
+Ge8xjK3NthKRFuuhiGg26CY7QufvLWw6gdjBF+w0xqvXVhWryOkWVQkWSAc+xiCafeBJqftCOHC
UQPQxW30x9qAhlQp8ARq9X5DANYY5cFnNw6jVY931tpvavAtBvoLwVnrNsYpWlnWJxoiOQYZwbQ6
xrzQN3NNaa6gzikHL/wqFfYIQkOA2/H57MtSkSqsfnZQAapX2sUh0U11nh8co1SU2qZJesBy3CZY
k1HoDvhLqdvGVgDSB0SWefrRm3BkqG0Wz81CZBxsZzj0lTvrMiwCEotuxJ0tB0J/XbigpCdHpt6B
qEeNTi9Gy5iUHVCEcTuFvE6b8LU7QeLciavMPVhBi1K3kIFvv7eqc6aK+4uIpfYFp7TFFpsBuSor
Fz868nObI7XSQTRzdukgOAPTgJra56NnbGlWro1yNY+5iGoUvOK4YZQo6sV7TnhyaKsHijZs9ZYx
85C2Wc0+MlPAICWU6b+j7A7yq7RxXOZxNXmeRhOgQf03ijAgkBqUuJnTDaeju0wUPxmpbYFbUxV+
3jgsPSj8qnDSbeyZ3Uk0IeiAh7Z6ocaT0Vtid+mFRvXouru6CkyfhkyFQZ0aGgyT80QmkwMkUZdA
IWpNhIMo0+VXCDBsyTkZHLlM1BauWsGKA9noojrSxKyD5Ccyjsj4Cms4j4HHra3dceBNLWTlGula
SFXDk4lMy9ZhE0PmQQetl7LdOMq2BVjYEOM5K4IWwh2iWpOtSkKclsUQVEfZ+te4iB89qJI+N0PV
PaVW9wLsS/4VzxO+azTwPUEBOMNOwcSfFhR+H7Sh0d9y0WPrgtl56Y1HNwbZBg3xhocXBTGJ0zwU
gCRFbvFFJqN9CQZgt2i10Bpx1h+G2Z6G6iOgUj5GgmqctqHFgTJUTVb0AB91gNpD843PDg3JA5yb
JABC1xxneSok5pbJVnO0GRfrPIcEX+vGMC7rTLWxsvVBXJw0YfPS5EzDrNtChspZtQ3ksdcArRsP
rZa+jFNv4P6gRrSUXdfZYcqjd7oQOWgpVvjTyNprbrWQc4zii1ngd22oJgDk9Dgk2hOZ+raonFXh
osSxwbNkvcRRz2rzP7vKGA8RmFavLXLIV9B4dw8MNRQUsNi1xpt2vahRL6Nil4XieEh8NxDGdgkm
7+eHE8HwMAAJvIdMb3UC/eJHgxy+qjD6HFNviTEGJP9cCAsspiWWbDicul3vLo68dzZaICxd/OoA
AVwvC/wuzrLt7pBX5kY34vpJq217IztVkkmp32U8J4pBgGhvhCnbNV5FqyeaA52s/7BRXIPd1lqL
u/qJgmmtZe74eb3F9t/Xi1ET6eMEEzCvtaFzdiOjRYJa3DaLUzgEWxLOIsK2WViMHLGlbecwpTi2
KHB1LrBon7OWqdT71UlLGm64HyqvOC6niXnWQzgs05Em//WEETumsgUfGfTYCoPtF+984khjAMJv
J7OiA+yIPGoe6o/YHsd6VbsmGw+dnyb4V0uQFcbepY+cEgJlXQAeHwO0ArEiDaBeVOguGKTGM0i/
b+3kpCZ1YzAF3E1b3LQUTSZbAADTKggalBZ9XmMJ5uriy9AkEgIa/+vlAVPSetBOLlE3s5al7j7G
7y7euIMH5DRDofmvH2MJdqbBgDbhr5/8brh8UsOTj5PM292yHsUuPw1ykC2nn+K/uqX6NVj4NdCM
CQwYeHWrV1YH+sVGvT+a0QDyfBprrLFA3ams1NyMDYqaY7Wq1f10NGufWTj0A0A9+Jgwj7laO4g1
UKXO08jgDLwQW+ouF8e2rhyU0KiaMq8+TxmtEu+l4+BsghRfXiebHsp46l5Nwx19EA06+E5iOEoA
0xgroW6ohjJh9RkaLRHIqrTu1Yq8+AWJePJRoxarugZiVjMbUj8q2oY2N5+omXjwrqPo+LSYYmxo
QjuMr9qomU89L8vHmP1c/A72Qdi3Jo+LqWq06jA1HggfQ/1jZQbu2S1euwBYU+tQMLjAunXaux4O
L/EJyGG5LgegEYSVZIP4QQlpR8o0elAkHQGRKZHzi6A15+JRPY/bLLJOZmAhAQaGtXK1jMkYsQ4C
smLQ4EnWRV7UpxsThVBjqBWoNwdT0DSG1u4jX2R4HhSl8y92NXnY4OXYd6CeAhosgz2guDLvjRWH
NtsGr+/u2ZI8L44ueDG2oNQIgapiRvqSGPNsfQL/pQahizXo6kAqP0Lk5yzwVD27DXM3aas4DTTt
w7Z4sz6NuxUFhuEELgfHREkMyqa6FQXFqG0o1pbX5WdUrtMKs7cCLH5lWgPftLSH7Vz8X/SwSzeu
2r3S7hYECKWqkeXmCkDFdGM0gMvNe2LyB00kDthpPBRJHjwaDU4dqyKdR1Y7BY9jjVtwqTMA8lQE
NaaByhrDwz57sUmPASdaWoZP01zH9R4dbZBH1sd/k4lirQ5fe5tp/jxSV6Be2MgN71L2z7cYukvu
annOpQP4eNsGG1l67NFzzhmM0Dc03AuW56b9aYtGCC500rNxrGrbEK6sOQS5IuDOaWxGBrqDreG4
Wm0waEieTqEltIqZKw81hFuejNljB+VWwKgaZ4sjXFQrWkUHGv9tFjPjm232pc8jo37mvVFvpzGv
z57dmseiKPSdXtX6ARW4o88HfUd1OXNxTpna/pSaOtCwrXiB4mR9NfLpJiJCBtwfVARN+IwIay79
ZgKT9VLKwVkfoq5LVX5QOYinBxGqfmS//R/Svqu5cVzr9hexijm8UjnYltvTaV5YnYYEcw749Xdh
wxbUGvf5zqn7ggJ2IiXLJMLea5HNa+aHSBS5sUytCMCw9vKo4mAVM+9eK68BHGGuDMHp7k+giafG
mTPAl6rx4pnDCYnaZGZdbW+8LJy2a4w4Smdk624GAbjeM8Cx9w7INfViPpKIGhAZIF9ANJrtISOL
7GoQCh5qYzzeyGQXWJ7FbqqRzvuMRds3WgEXFcjOing5ePgdOw8k+10R5zHrP8wCLUwYA9UDHJcD
/madjuI0Z0o2IBEAQavX9gfylItxA9mbYwDGkJt6TyTnYBXJemSAeuADkdWiQwC+z7IIZtQbcyTc
JJ4+ngPUOJ4mI/lNFlfTmbRRH414SKChHgdFJaqL7GlNQ9A94o+rDJvk41K11bmevXpYB5gdhSkD
D68GUpyHHItJUBxNICIzYv0hKh0xWar1LVDVXFBRG+zR9CwP7zo//1G3O/xvtN9RBt2DA3NxdpXZ
MwQC3HaN6eYCOqQGyNtGvUuRS4VMQKBykzaukGwTLigJ3oNn6gOjIb7BVzXZoC7bAEJXbK9JEYAA
Y/+ayIAlC9KNkRzFPaRYHKg7+TO2uLAxNYeJCSxsOSZVhqTNAgv3HgRw3bCNxzI9URPhJw/oabur
QhoPQxO5OBsp9MOguyGpoyjH0VcrXuiyqzyXp8gBPAglGJaNN53zaNNTrg6J3M4pkVAhFEuGB69X
dLfJiG8KspWQHnOUd8AvbKxdggwV18+jkwEAla0ZF2mYJAGyrEnYijyF+3HEkahAmizGZhD50FAp
lPOdTMaaLHtZJ47Z1vwFJVeCRaatXoLE3DpeVhwZW4KzY/RNiyICdA0JsSuoBmrT3NxoQNJijuFg
uHyj670JLkWLNdI/tjDdGjpUD4oQ1BTYiA49b6g2tJkvd+/lxj1t9svuv3SaEUU7fDvHfxmJ2ZqR
zwtO20SXt9ZR5BPvVRZHIL4rNcRS1F6Bi8RckQKTfHzTlHjs1A26ZEljmSEivCvm2mCd4+bqTqGM
Cw/ICM5rghtxPQAM8rudYXGhmQaS3m4T4Eif6ezHnAFt+FZPmhK0vthLwrEjPaE9D0dG1mJ8kQ9k
+dS+S9Cj53njdJ+xgp526imtnvN3siAzVpM34jAsxwlyZ07AZmiMej21cVuGJKTmfx3rApJNuf9f
MQyBNUdGdAvZVO+x/4elSaQNJ8WCcsepQtr/QjYU3bKqs9SQpCxEsKLcqPc/yfD+fo0nuVkE00uR
F9j37Z0DbX+qzdIlAlxl7Tv9RimAbPW2ofru5intrd5r7LkB7VQ7LFu/HPNDkNX+yRNN42reTfOe
jDHkBqIKD7hBfzL+z/FGn23H1usABP12sRnEJHNhNt8BYPahEURIlWio55nA+aReHZggF7dNb6Vk
KCkH+9GdoZ4j+3OM4gPJqaF4BnEq0Rg0J80BLIZHFYp6ObDot+2QDygwB1R7Z66ZOJItHQEZdIMM
5OP9M7VZuslJQ0ayS+BAWYHN9Ft7Ahu6OqlAN4GlD1LkUX2ZIJfLZTzHaxE47B3gTH5jBWOCIKzO
A/7KHUZjIgUbq8/lXAA+QrCLSb+b7rt+pCdnh5eLs1LkYsCIGo5gWEIB+7JmAbL4CXSc4Mb7QGCS
t9SSgJqJ8MiRsjhWoeyTmNwA2aZtptn9QSICHSe5tFZ2MjLKBxO2VdJ/xXTz9NGvcOSs7oliKpdZ
vHQvmjgBxhINZ7/UjRurfO3SmBrkF4CQhDQR0GtPNI5nXduUM/txZ1dWJhBnlLAA1ujuFZXEsOyL
B4SQp6Fn/mMH9lMxaOwAwHrU84toO41YOpDCCFzdC9Mch39eDuIlEhYRuICMnjsd/k9cuwbqewVc
n7ge13Rzae3FyVZ+pKBFFn5It6tuSH0k6t18YvkRyTwrZhPpowhKRgXSFl+n3l6BDWRtzE4jOBaA
GMM6VC3bQJzPUYUtNfrczf2ZpGRpa0l+WhhQV1ckBGENEsnBLsdbFDyDHnk6FXa0gDUZU7ggafHf
Q5M0N46GXZWD+F0K1RSPpn5NMbuAv0uDzb0jjRv/W99V/KxVebPiKHFcM9R5nWZxtpv5zogd9euY
etRYQwvunQBAyEKpGnLjwvdOpoalO5cbEISiXPJqBy5unHB5PVJ7XX0cN3mquwXSfBsknXq5/xmA
EeV4oQkgCol65CHUgqQH63Iqy08b2wYhHLi1MWcDricJfRZlpyw1ASAzONhnZxngdXFwIQ1TMiQh
tg2BxLJYr4YDaLU30QKCQh8AsXswKF9uylcmUR2mQOJ+N1Fy8tBxzDGBSKHsdmm25k1ffOXleKwq
y/2J3MxPZmlMn0Yjczaj7ZongJjrD8m46OslAMA1aklLudaqcIZcoWBqwR5ZWxzU+mu2B/1sYGtF
z8v2nMSmubZRNfcpT/J/TCSQ/FM3wKYHshu+x787bRo/F0PZrrOhH5/6uTQw8Qe2aMuLBERH1Tqe
R7DuvUMOBkDq6aHB+fVqTAxBzIfFMKp73gjEJBmY6U5Sfa8QziSrC21a0UUo4LtXEhdR9yEvfA1A
Q4pC90FDSUomb0EYluIiSi0jCB4zFUvdB92W8iWTu1tV2rvPRRdi4itTivurXb8TFVnFk8bXD0xD
paWggPc3DtzFQvH6qdTF5J+hoc92vdDN30bFUrd6822pQOr7ADI0aIxaAXZ6ReSIkVuCSjRk0ApR
phA0JJgG4W3IrtTJ/gg86lekDfIjM+oROAiQWnCi5yJDDrApD3wEpSmyv1F0KGpUm9Fsxi2NnVwD
wvXvNv9Sk2Uc+A+GiCNdSIb6T5QwUszfbZBNF508UBaBwiSQ5SGyHmRCzVG+fJhNLLxVhQgX4i6q
zV3hDijCuKszydsCAHiZh50j8rfAE63rCzAsrCaYARpQ55jiAENb3s/NB6MuNWTUFEhjoXuL0xSf
m7qkHorsgw7+mm1koLDPETjRppjRU+9OpqVOj6REYQNg2WHXOz2SzjBSdjREothrKBr+/8hsUHKu
W+w8YZk5v+YkA5pWOybLd5LIlGNNKJVFCxCV7sYjzpE5k3WgFIjjtkAi/jW/GWfsyfkmhpWCoWKq
8b1agvypZW2zC+bk2R8jQasi2KNkl9Q30gn4aTXek5G2CQBVHLJxYyPt+ympAdURx0Vhh15Vf61R
b34gGWmpiSKzWrsoNl3fKVLez/sCe1KhMqaeZokapdcrGIA3Tn23qZPnuWB8Q3ioWgw6tzCvgh86
drO2JJs7bzgNAm2VencyAD3DQ/r5NaiQ58XGkUSwYP+9nZBptCAVfENjz7GiHe/GIdnwHIw+9/r7
8dgN5ZZ3Zvwx4l208Yyh2dtT3XwFgjAoRBaARFR6fSpRGLYqR6v5CoaQCXVMlv7YgmT6A2BSP+Bg
0X/0/Gaelq02VciQxi6gtytzuzilTrDWsVF+oFEJ7CBk2gjFUqBAfXJMrwqlSggnISQNyXDYEWFe
5OrzfoiHnRySRiub8qSZ2Zs3Od5E1wAV66E+DjG5XYPXvPEA+HQXPdewxUNXk5FJz+ia0pTujld4
PPIuLjbyIiLmTXjpqu6ZjOSdyY8oLqo+ofg+UkyvDzJEYjGcr3eYoGhjj/xhCSI6uFjF5AJPNMgC
hpTupNqShhpSgNgONoWXAFdPgJEqdVe4LKzBh7WVNqRp0+hL01reVu0BU492fJFkjsdU1OHZdd0x
VlvBN3vHFVvwk1IqMlfedwp1gffCRuArC2s9ntd6AF5JRf4IbP9fjWVpG5Lfc0gqO1Lf+aoh9Yis
knoiKBcPgDu5YrJUtiTDoTa4K5Va+ZEs0NOXdqris5859gsYDhqkFrT1bqLyy8IxTlZRAgq5zfJW
5Kps8G8aHMfIeDaQLf6gJ80GFfJatekGICwFcYIVC+EpuLyR6kQw81BTCFIcZacRPQ5ylUdQirUr
Y0m40X7LgD8ZAKTrKJ8Fqc9fboYgknoBRwUOszR2IaTg0QZgYahAgyWmMAiJIb3HF5Zj8Asd/DIo
9wrimHp2Uf09osINdXmoRx1QYfC2ZANMWrRmfjqt79Zyjq1fcpNrRyUHGoh1ihLMA4R7w5p2a47I
pokLHBEatNtsiY1ns5jmY5u+kFwnQgWUrrsp4E6RXV3E4LSYIlEzZWbaOgcbz4oqpZKqnR+oJ0uq
klYAvgo1FVvd1FnJ4qvfvakAi7xJm3h5sXpdtmrtWG81C/yiDZ8fAVDQX1zRmFpVr8d6GTaGjaKH
MDZBvQegK2RKpP2FGjKOGLAAO2PsDkqReaONtPTcFoeE8CXDmPmAeNCBPOM6WHBja4Wa2baBhp4C
pY+G2rx0WAFb3wNmNEcfCNL7pEGuNJKSFiSo9eAnrQseYv9jvkRuX11YH8aOqORxtDICCEuqhyNg
sUApAIs8GgFlOczmDsXzWNAK2Rwb8cbSkURuIXHrgXm99+CDh2DjCWyFBbioHLwfDlCJWvz5ujSt
z3WSY6j3brWagBPyoKVZuAAFnIUoxH/tCdkErrAL/tYpFomAOe6pLjieihwLU4xVE8xu6wHEGUJS
cxS5hGbsF2sle9faZ3icAlK2PS65qa2RBTrtTGD2fqQhZm/TzhhdUw5RtjrfDElrLbz9WP9QwTNR
wUw3UXhRseJd6csbS/BVYi4s7pFs7u6soPJmcnz3c049iFVBfTHLJZea1tOKYfLxRgXA8+W99QPJ
ygjsUGA/v7zPvvzmL1cOHnCA+BQchqL3HkfL8h5twsgDtcKqF0OSkTbw0/YB+RYhyZUDDQMgjYld
d21LitjpRgtwNYWxdxz2886YYk4xDiWyCQix4tJLha2fAFjfu3FhDZ5DIH6zC6RIYrsqecTZbq6H
kejqAaqz6+pTwvLk0bECe0ICMrIja54dSBag7uHVAfNie2U3i7MmoRfw3lir0AWmZyvMbsoVfce0
QJLfyhTXQLcYg893X75cTpHWh5a+brWuUsZGl1SAw9akBZnVAjQ4qc0zWIK8EzhyQNWmAzI5QQpe
LBrqjUavb0uT4Z9VaI2+nh6VnQ7EnFXe1wFyAqAgD6UNkupoYcp5JLkKPGQd3xppMaI8ykJxMcgQ
iRKbyLHlEYk4v5WYADS+2t3IbrrS+y0WhUl5hWoMcu6a14tU2YQTqmWZO3PVl162b2sN+LypX1x6
0VAP8FxfozjNjzRCZXd5sZFxvTcbBpL7qxkpprn5qi140Q1sLi4kqgMGiGlhy436r2hx44N8iqsS
2rlF7mVXedZGvQnogU4NPd/JxOgTWzBoTPJlQYpSvlCmGNVXvHxVvwrFFchcXYCGdBW81Z947T9l
moYJlukDhD+agiqU4wR0GA9ZbZk8rDRwQtWVe0r1FpbgcAKEiVD7ZpMAps7q1zQkhXSxhik7OWW/
vQ1G12EWjquXpOW7m2iLN6JuIfiH1X/TTOZmWlXTTIemPzZxc9/Mf8iWxrEX4Yc1/rgxcVJsQjXI
A0V9Ut7r2MmdazfMfOz9VvTET8W7IRHNNIMDI+2rHUj1gBt3lVOPZLoVP+k4LteRHOqfg7Q3V0wA
y8aiGUbgzGR2WwD6GkMLp7U3itbD8pxk1IwCqLb1pmqvFBSFfJWi1JAvLP3u4pM1IBm/TFEGAlnA
wsfrfmptZKKhATe9DVxWqzx1+r+UA+D5Tp1oyBarR2Qn05g0Os4CQqDdZFtSK0M19CoPLmpMPWo0
rx023I47GVAplLF0joPlJ7hwnM3kRfxIDb77CVurYgzA77EAJA4IpyfPRNdiJhd/nDeDVxVMbb3p
wrFFMeeNWjoNMrTwp6jKicKp4c3lSSPd7y9/Zz/QjZErNV60Bbx5fYwEh6UnmS+RiHMMBEnmzdgx
83kH+r6TlPl35uROPtQjNfWUws5AkobTaMTFpAYYE9SVUuWEPHdUKtrmXyqpLa2CeFVWyAZeKDHu
z2lsUk+JcRN32mPZTPhdIy+OXFTC3LsJdBMFrxxvALhofgLwxOelxgsTOSrjWRfsz8T0TA3RPVOP
FBFgZY5ts6zu5O/ZUrgxMf01KHC08I8x73yvtwNSiPKMKtJeG4DQl/nsjJ3tad5S157z9NwV1hms
Sf3eZeXERK0rW+kdX9YchSdgTRU+izF1OM4T5h7OEtL1ZMQ5ALuCFMBUFteeVTgnwO8ZPCIhK4zG
ONiTZYRIc42A7TJhfw1JfNbaq1E4IMd3j6DE+Cs3Le9889yipxK5oUzNWqkHF/VAsOc9yF7y8cZV
mZFrpxcW0hRgKy9LD0N57dcrqhuRFjh5xEYFXhwaHqarJlm0h9Irb5tpSu2jy9u9kjtDEvGQxq0z
PWOVUB/ec217zVi3jLtI7/ktJhkD0cRSgfOrxcKQxxBanv6soUTnoFzlZXsRlDXDbdBzi/oHbESa
wLTJXdM8ouLOPM4GCgVRO4iuVBXxAIwcx+q8zYKlxt5rio3pO50F+DQYkZp6Nz7+POjBSamkPSpo
w7jpkqABA7Vhoc4iBgF5jAXTqXHGDeBjKmQvoml6v3yk4VVJpkpOPVIC0WtzJ6cYpMSLRCrv3DWw
mYWzP7TIMvXCzArYJen9+EMJ9vmz6yxPOquSD1LEq363aB14B4QFNRqbORYQQFTEoeCrHXONy5IY
FtikYdZlWX0JjClUTpmxRIcpzbCgt9osWwGnrd6Y3VIAGOYtiDngbY0yH+dAfqQwEi/0zCq9jOOo
41mSldMI2m6R9IgUyvMoyAM07GXtS718ptHS5bW1Ja1FrAKN3XWrKUk77Fu/uTjaOPoPlj9vLRQq
HqSh9Ol9Vq6X1mm2XRSDpaJwvIuBGv5L1aOcBhRa3YZkUtFMxV5zMA9Wsso2U4AqpAclmoPeA76G
g0LOmT+SnEQmIFpDH9/IIRaX8YB4ZUzA2RO/DH2aczwU+nkXFyBPCVWpgyk0OCybd2R4o3YW/Tcf
XeMxyn2u0l4EvquqIK2KRpeRIUljFFhi3pRfiAhko6K+WVe4S7prx9BnsLr9XrchHG8j1n3oa3GH
TKUr4Bm2aEDqjWcyQZcpBZCvrYfSxC7E7whpNERR9QsKj6IDjSo+Ya8cEHbIQwSC/4aEmVbyfSdz
2M18cAADG2Pea1ePQe/6R1tA5SGDfgLZNG+krHRAFBIin03a2U0aHMmLmnfkJLrGJXsSqbgkk0O6
IuASgaJ0wu5YdQLvov5ETYBs8qdhS30j6l+lFjiwTn4wPypDUppjMuyAt41tjGsELrzcaeB4mxjm
+k7RoVINz6F02ano5KFh068G8OgJJ9zNQ9v768Wqkheu1ch3q4bpSMNOB+xvMU4/E1tPXkgENEqk
wWnmrUVe8J+kBOFP/NKZSJihGOSVtJVzulqQWVsllx7VojVAQEZgwB2cHM8iaprIfO0pGRvbBJgd
SNEhWXc1uTOumqjc1qwCAu01ngrKe1sQdTMgWnvI7SRfFUrZKV8cld/cHp/nz6+5/jmLhwOA5vGu
oBeGaFLRgBEC0GIkBA823jVRjSRH8MrLESkcpLHhrX91VHEq8Y4iBclugnUqLs4RG2t1Z0pON0by
QoX3xFpQyoGaF3AkKKM4JvVbT8kMQIysW2MAL48wUYrWHYJCCklzp/6fZCoquWVjHP1XoQ0wCUxa
giTiGiAcDPnQCYs+2YXbH6pR1zeF0z32dVOfwZtyJmwcz5/my3UEMEc5IhidJMZzOi+QJ2eyqaoO
sg4WuEEndzTZIQDJHIluymfrzvqWgSKyyU4MK2MkmeE5F+sAn6q16kAj9Uaml7Fhjw5S0RukrL29
2dWL/qok0Z37H8PqET/g/1TrD1EcdDubL6gKEo0xoj6Ii4aGaTz/mpPc2NBIxxaDlNOQzMiBhv+F
LLbzBogqIvzrhSyMyVHFUVc3HUxPOJCBQPA0I3cHlCFBnkfA9bGNZL0IWa9b4EfCOYV3omZxh2oX
dMVHJUI+o5msZQTqKlVWoiCJx8OyVrIb86ldjH5L10Ha+rqxfOxN64B4zxgScyRsCWGQKOySG5yS
O6gTZaNcqDcG0b60vGpPFiS6cyUZwZ40d1ApyuVdm2to0t7dQTu4qNi17G8E3+JZIyaW1KWmBPaU
t7AzDarar0dUz7ruWXYHq23Xc4nqMOVBvfswDDSVFdY5yuzewpjBU/BeKLpc4/CXSpDudUGdPSzD
iENXHn+tUazDdpbNM4AjojGTJVmbox6vK2zoPAS5MQPZ168WQAYKx8Kbv7YmUvHIWvmRUsm+sBJz
LxLexKFxxIcFDF6YSawqz26OU8s093MOOt0qC/iZJXh2LE4/fOQWDidxUBz9AuofViL5r5z5Xegk
Qf5Xzf1q2wHAGRn2er+LZ8aBnajlKOEBONQmdkDREOuFCdijHlzjwMD95lY2oMCQLg9Gh7j1NnIs
rCMnRZ6uXaXrIuuiR+TJR4/UY1qKYisksG1J1lW1A/bNGvOwsgKkoDKUmgFAV0U7PLYigBRRBA3n
MVs5prDLhBkjRZBCFYctGzDrgb9Z3AddiC0AS1/XbbBz9Y6dQZXWgcIcxWoGUEjOM/t8vwylFWSG
0kKcOs02EHAnLGnVEnQwlxJrxmQJvTZGGYWYWdBcYKi6XYZJzBOJsJnFd5nuOSs1vUiAbpOXHehv
xVSCLFQM8hIxUmFBo9YvgQYsrmJYgl+Q4wTtLgEuHZhxNIFiQnJKnaPEOGqU7e9mygIr5gxgSCjg
GIIR2Fpgdd4idWNAtTNzOCp7Z3+ra1YDsCpnnvY5cEN2Ze3s3YUbR2q6mQezHOtWjezCvvMNALAy
BiSFq5WyJ/WNpeySnlTKknqBNdX+SQmtBu8VYCTF3i423T25WNx2Q7cBqq86+/GXcunPaqwOtgBo
hPRP0shTo26ps01uIL1DHhONBXiuxzZaA0QQOxpeET2qpsZRwkO6fCHJUpao/11m5MGbfaPtSNi5
IDkKhxSUlUCPi8IoLh6HqDy6AtSRGhzkujfDO1mf4xX7n03IY0l7IDuqqHdhaGhfrzlGeXvQak86
/DF8HqOwqJ0rsAyJHT/wydjHVtwQDU3MzMpQaahHajKkITVMOKshaZHUAmdleOenj9jJHh39b2Vx
F6pddOwQqrtxum+OhS04ytBVVVWuYYb5gmwOWX0li666uXF3ptf8pHxdKZP6rkWSc8sHMCZRLVcP
2ARQBOE8uSZglFEbWmz1VQlghipsMUwo/FyT0E7xS9/ifAos4oI6NdVyUBx6oqhUWpEXcOq88MZe
xhuaZZuZmE5PNXAfgEhdoEwMp0951YyPiTiboqFh6qDOxhxxQzLSKjtL7z+wzuRgCX1zpd5SANRk
MGIZUikphrrg0LoxMhGrYgcmUPc8ZnkZbNvU8w/GtOx4lg7NGpU47ll23TrjYbMwa2PMrlU/TgJg
TQf5dZQsM/Iz8KwKjR601ORDIVvWowR9GT/c/OmGlBv+Rv2Rb35TNyonYF9dzpG91OC9tqI/ugxy
96O48ZE/sMoBBLURL8G6FWgpdl4CdsVd2l+O73pbOSSN62bzmXqRgFmhYR4XeJlVOYhIrjIyaQss
v2TEmAFKpmF/k4UBPF3w0IorKY+mR51VH+mzVuB1ppcHXSDoJHjq9KnWH+XvhH4HgMNGaWQKTYck
tOPNz2QRLjTOcDubBETbEXgbUcio9/EKuTBstyxRt8IZMMYajhMOwDwC+ziNTdYa4gT/w2QEXbwa
jWl4LCNnHVtW+my1Xfo8xUn63Kb4SLVxmVg7xECD1HcAQ9cfSEemuj99iWY9OkqLYdQXvLP1ZU8x
qEFSOw58g27eymu1WENsWmRMyItp+Es8RkkQmrUJhijUOmDn1GuRLheDi1DIvL6DQgypR7K6wcbH
Yi2nOzNS6sKrz+15N2X69z/GIEU28Shkuv7opMWA70FD5p41s2qtZTO4BO/GS5799NnAz7PbDJeO
1w+mwDLlYjS3LaZ2uvmxiwypc9tEP2f4RkFdaQy7LMe/8xDgB7vzfN4GT3lnIJUtBlmAtgDwu2f2
GQnj/h7zXGC/RwL1mxqk+ehnHqX5NprAEwxKiDa0mtraB5QlAmjofGcBzmal0Riw3f1TYX322Aw4
a9fF3ueY2H8Vld9uFB3u3MyoQZrHJxI5JnPPOTY2aUQcuqU521tr6LGWEIhs1LiO4+GJ4CKDwDQw
6Vjyejsgr+7Si5QpNuk95tgYkgyJUfGlGL2XIpnwwhdyEg02OB9j1/iLTKVIKCvkK6wsbcRrsQsy
P+S+Ez1lKzIY5zm5aBrLH1LWbnrLrI7eUD/oNX63VpDfNlEat9sRoLDhncIQdkYAgF4GLK+N0pKC
hqC/+WxZZrSnwP7s9TfRe/uhdXT94V4sbgbULw+WCwrHHMXnS8Y8cDL33jNQkrYjan8faaQXnD9F
4LUFKk2frlgU4xR20H6Svds63vNgjPEOCz1xLgJ3UvQ9SGHrbBq2Jbb+U/xrgzlpyfX0SC7gS8C6
wfWcTZSOeH/aVuMcqZn9BNivnDvAn0WPZG3t/4Msr3ljKjPUKQG7XdgpN+rd+d4NyUSFUb5/DOXr
uY81fJEBHDdoALVIJTaqmaZxBdKE4cCyCvXTpAhKxw72VJbjYmcTlVqigsembtUhGdscyk/xhHzl
smMoZhLF27Jam7rUtNhiTCOcb1EVN4mwRKwesMBv1gOqUMIGxUfBsrNiFC7j7cWar94wAwlKBw5x
x/X6a1DUv4AIY1w4npSXqYj+IbGhO+46Hib34FRW/nXcBL5eHJDNgtwJkMqsq7YUNC229RnA9A/O
yLMPQbMYH6y+OvVRY33OspaBYhUws45XNR8DkCJyNzfOS+7rZ1RU6rJHMi8zp5Me/FA6M2qbTRAY
BiiauvJi1p+RFg2+HZGrGHE0puV0m5njcUYyarC++WXxydnVAOM6JMsIlgs7xqoTTQPy1wlprG/j
uZykCXiJoMiuindMlIh6qcGShzYZXyNTpAll5rwGiAkAFnrRDAJLwSHUBRrLrju1/7StoJekSt5B
0HOQpfIhWYmzSsH5fJG+MYCnkVJSbSyzBe4rtzFb6QKUN5j4jwHG++LWj1kAvAIgMJOJIexcnL9s
sFI0N5rIWQRYRmG8lE2vj5uiOtKEHbAwMzZVebEr+vl2rp+AaHDHJ30O5UT/ZnpPXTIf6zLUg/lZ
A0IFuCmB/at5AfiJzWlHIMAkYqga39Yp79Y0JEWXZz8GbHxtlm5JNqNVddshK43PwLg7mgvA1fNp
xPEa96znIkmjw/9tAZCZamXrBt/ZmW2cqOFdYsref5YNnL3g0L+5cTUi7Yet+TrgcNlr1dTvBVZY
xn8yx3H+tIyRvQGXtHWKfeOXLJENIocdp0ZUIZsAKsRayj2rBmVf+BsuC7ZyZlQVnHkHqnOI7iyA
nH0rsyaGfJ24K3dDos/AG9HmywI4lF0XO27YiyEpQLdRXoBOQYNYa6oIGRg4VS2TIN0DbfwvnAq+
mFc08dGpXKR6aKhxv8qol0w2Dv5MzQGM+xv0OPWGsl9VoHJ6ALkTgKG9JgCOZM4uIw15lIRWi8R1
xpPqPAOC+Fw6fYUTgWSdCRHJkYZU5uubLpZZXqiDlHId9AFUZJrWmQbQJtdowdYwIhEwAdDhICC9
ZU88+m+GQtHkUbL2OtuXxlXLAWpI1k5TpcgS+D1EK4Yk83UTkLWDCDm6dgAiOtG9kTYUSjnoBVA1
XkGK3AjYnbS3J/cd/wifrPYJ77YW1Z6gVmECnWlRs3rPeGrNlT/kzZcuxclE0Bmfg9x2p3XFWLIt
4mgCslC9nO5oKNqMo3q1BGUxaoacIJRjsuQNKsG3OPvh4NbVl6Pp5j+DYolekIDf7/XFNnadnxQf
x6j6lMZp8QN19T/ZHP3ZACUGQBvOnV0ZjbvRGVCDYxtpcu5GE0U2ohfHfobUouuYhHoLPtfMs4bN
nWJmfQJ4WDRkN1NEGo8Z1hfIHN6NXTfsx8Q/+pOOvbkGTMnySF+O6WBfnt7Tab7W6L21oi4OC4C3
QF2ZHSC74gSo10VOgXQbe+R3TIYeYYpydZDdweiN/VBEmP7Ew/gCPETgcoCUHqTywJ7s+AiS88ze
kNKdG+spsJwdKeME9mVmg7sWv/kjycrA8A5V51vYOoHWxZTLrJPNzZo6SrES5y4yTs544BogvvGT
j8m4JeYBGgzVlngH3jS6wHB/G5DG5cBaKBk4F72yR8ESsvvQ1p5hASYcpzBxADAVKnOiAqccW8fp
YRy7bFNxKwoN1ACBCA4kvnXIvZeR4xzMQdlM6Ah8bhouAlV8WBKcswktNf21pxRkFww5QMX/swvF
Z3ZyaMtqRIZnvHxJ/Qwbsm31yHD0+tj5SFwATElpn4QCIKE4Mm9AdynVExaVpxyKDMwOuzqIs9AD
0uzJyn9RmauqepXIQQpt6M3sBlyIlORG+EM0xObAKKJZ3qrG1OnhPllj4MuDthzeOx7ShK7xbg6d
lHOM87EHLz3SmRPIAX/wPgVgqsDJUJAWZdpvHN0qDkqkUC6C3BQlXdUygvfmNzeStYGjr/TAsoMW
WCpzIhAV2mcuYCKtof42Dcjw9bDPnazcuLsdpnz4ZizcBesUfg+rq3FTAqIShCOt8q/NjD1HOaq8
mHkYA4ArL/1Q/W1av5LBS74vHGzTJmu804CEl8ugI3e4srrk+xTFXxNgLrzY2Ks/BM9NOw7IzALv
WNGn6cXEhnGOJ80LiTRu/ONUXXYmUY+yrO2EwwIkFMJCA5iysicLNtg39p2mR1snQlaYDx6l09Qs
3cab48/T6LXnLjP0D9zryjMrsi+VEyzFarBqZxUhKWVnxInxIQH+wgecSZBushlgo0SlPXlSA0j0
z5YbzKvKb/aeqH4CkbRxop4a6kuMqkHbcDZ3CjVUxhPLq2MCBifKBMc+yIKT0r9S0wMxxtuoLeu5
QuqJ+LeI6xVhaVJKh8rrSGM7dC2Aa6uMEmUWt1Y4drkuyAYWkDwAwZvz4GkUjQkgBUAfa0dXwCaQ
fMb+7ykytROJlLyJ9QgcbMO0JlmwuPqOgyh0fs70wDyiXszbMCPXjz7w2C6zGdlhz93iR+Qmu1av
ugfgNFsrSbMAnuN+HblggSWyBOJSeI9agbTKZCkNvuozZI8pVKCYYIBo3Nv4S2NzXcAumZq3HjoT
/LpXulKFCqRkEjlIjf3UffVTAEHUA0auyCMc9YPTOuklDvotT/XxBVvj4wsHHJNAZo4Os5C5PjLO
nczlodQKGZv7nQ0i2ScSFSYS3TEfmjc0zPvWwWO4rfd9gg3qLtI/UDMGbb8FZ9y07pNKL1al0TzW
qHB8GKvG+DDYFhCm7ZbdeDSBWawMIFrtKQAWUsmziLk43Fh1vv419idz7SWWdmLRlF2cuXDDCWUS
37UowXGd3X3SihQTBl6zPSDpjY9p1V/IADSAPEz0xr6UdjCcupzHm1L3k+8dCm1FBAq9zCxYz93A
8T1913LGLvLZEgff/jhiwbcm79llGRI8o+BnWP13H2gN264GmyYgXCvsRIlJEY2pcZdo9s//j7Mv
WZIbV7b8lWt33bTmAJJAW79eBGOeclamtKFlqao4gvP89X3gTImpuHplbb2BAHcHyFREkIAP5wBU
5TpJ29qRrGwbSuGsNrXPste0fyaO78AKp2PoWBHAVcT45rpu6rWZW58HMMq/Mv7JKrI5rNpofDND
VIctVk3xQmJk3Y7HgoXxbDVlyYeVFGAvcnW5HYypAwVyhHL1cgiffNMyr0U7HnU3SMN1qZDtcfSk
Q+h8bO10Oe70Nn1fjqi3B10ymYL8kwmdXUGmjf2dFpxDRXiB+Ax8GOkdDQpiyihA1IoQK/DplMGi
0IsaVWbwdewSNzXclR+Xqxhlj2OO1Bmj2yy5wTfpvxPqeFHiPny9SSGmCQmqNHGpGMVrNHalFACk
HAKgSwPReHWz1idzbQo9ONmcI81b1kYgJlujGA7b0bToV3bQRvcAE+MIX7elNzosfgfd0Ws9yeLJ
l2DZygzHQDoD5MmY7+KO2184Ui32JjB5timYsd+n1uNTp38D8p69bXS32IOGyHqFl2RNejACRhsN
TuJjl1XJc8+bR1qPBRLgsZ2Ul6xizr3Wa9jvqAuZeo0a58CO7lE8e8xkB5CnCYFruyjGN9nUzgaI
o9FesGR6c0v9ZE5+8VQ2bLhDXTTi26H1YTZWfbSn4a9memo/sEqusQfYwilpP7dDWFzhMGhnDvvI
R/w06LPgQF9RBjPQihpIwu3yNYss7cnJqi9hNtnvhQtyZcFS666ve3kZBR6lpLDDdN9UTfzKy0ns
JDDNd6NwxGswsA0ZxEWUoAaymM4AVqnvWY4A8jgm9juyfN8jFFg/mVZcH2sH4XSSOyhFRHLOeyA1
Z1PYhXtoWKk92UPzxUegPczwNh/ARPfYsGnwCo609CjS40dqxiQ56T04EGjUZGF7LfBAimMTPBpZ
hWB4h8/XS0B/nCBwjwUkCIw/LQAv2f/LArS83zT1NWLptlYY1FGDfbXk4wlZ6fmlVSKS05CauEQ5
aOMOubfIqLfYjVNanQcd3L3Vmvt+f1w2maBad/M17Tep+WniEreqQ2yry+70pw38eMMxZ+HfQeLA
bftzI05b8og4fWhPTntwUi9D6s02yw4+SP3I69whXC+GNI85Pmi35viPqQHSwM1QLxzwutyEqqKG
qYqaWPVspXA1ME6RgmSkXRS9KrAh2aJAEsfHjCByVapnnOBUVrMciX9UIGRaievFoDs8JlrF76s6
QXWr8imZAzw8vWa8JXkoNr+zCJ1qV6AQ9s3SHFQwR1q19n1m7sABc+jrZALJcOdr64SH7iYEjqbE
nrhYS5eH91WZGI9dnkWHsS6RN0LWSIUskcvT5segZfpjoMXDVa0VjBniWEVWb7ly1i7u3NmnG5vW
1hjgufZ/at2wAaLRYjja2dVpke9GIs762MsGOEQdhhB9pMhKqcfw5WkQMVrEIG5ARkct5bhusdv2
BlQQTYiW/JiGGaigQ4xJjKi2xY4NiCFK2Q3Vx4xKaUhNCkdObx/HB+zbjTU+D3YlhCTk3Fjr0NaS
NY7HP2CTCBIJ0ZcqAoYwmc2YSoky5naSrkn4aQaMR9tPZ2Ojj+LrR0G0LA9NbbY7nMCxcYuney6Z
+Lvp310e2CrJuNug2nr4E2hP7zY3tLcKhc+ebPrgOcA2D/TiznRnpxEOEW1ho947qY86qBz2k1mg
DEJWfNMlebe1S4ngaWKAPkRxiADIih8Kzd8sIpJTMzB3aFafxk034SUqL4uIkJdpbqijLAwZbwNK
ypFlH6R6dMWdpy+tloAtyu7fBi2uDy6rnHU7VP2bDrRnwEDH00UH79ALHxBqVWbStcFCFHPQRGhy
eMu5QAmixir471DpdvCd3PdyoC5c4hxJsnqEh11bG0ClQu4vT7Pk4OsVyjrIhBotDuD8LxPLq52a
dTuaB3xN9XB39HXYm9eciS9liOc9b/HWNFUtczrh2UpDQ1U6L0PS5srYV8a6Mr6ZS9owSdbAbEEk
t3AB/zC3IbJefvR7J//Zl2DvcHQTuTCiNU7UWMr1uwwX2ed5JP05eb7Gf+jJKK5w5BnD5BRmgXUx
hg7+Qz0Id8IAAAp2RRBSwxUEborkyMaYBYuUUi6SAqQmKYL3oPL9zcymd+H7RKU5XpY/lqSUDonD
94jsetC224A8o8ssJqgmjjYBQ9lPb/u55wI9D1EFMHekRdjdxarpW0TzRQAMY1JQg4qf7i5LgCIe
Frzd38yIxvgtxmv/cDMhQGicZzgYL2tQT+urrR+N/ZlGdYzA5ipyk5UDl8B1sc1MAxlCyMBpIoWa
rxr4yADRi/3sPCSZn0qF06uEpP5kjQ1c44KO/idbVqCLDASSiB0SoRYpWlM8tV1YnUmE6ut4LaIA
+DSV424shmASQHnyC+IieJhSd2mMVt8ZqZYfFxH1XPUMnmWx/nkVUgilTbJ9BB/Oo/A7/Pa1ChFh
dbDD+aU7SIm9DOg0QcYjRLc2UM55T2c/Hc77jRO6YAcAiesTM4LsTk7iEHYt2GZvltKLsjt0uSlW
zYCfh0xMZydrf48coPAJJIvhE2scuHHA17MrmYN0/1pGd6nGZ4sx+IpKOCcF9pTvA8ivAGcYyG98
4DbpDlLnc90/0zhL8fm1Iug2NDTBkKptST1iE7yGa7f0aMizEBNdNXGZ7ebDd8a0ar+kJFIyozBN
fHpJnu/wMkVyimz0eNe7qMoZ81Cb0xXrAKxZeZ++RU2Kd0WXWuyKMx+72kL+jYSyek+jRS67ITrg
1/BVN2p2NVXjgxf2EpSu/JK77ZcEQS+kAa0G4sbMufVSYWfw5jfa5JlmND4AOEPgj/OnUxvbPbgC
Mm1bYeYDyoxx3h1z6y0b6i9DGJZqna4anK+TZj6RSwH5CK8l6/0tjZZmYXYkWSEyZ6aIvDEpG3E7
30F2agtIVTrKOQg89av5uFfF2iqrkFpCmuUICCed6/kgglE0HPWdyZAOacMvtjCroTjVOIOaeCdN
QFZoleS7mRZiRH18AJbWNSDWu2dnTIxLLMc3PY/8xsMbJHWyZ2KTQHYHEF/y4kLzxGT9fpmOKy6p
SqQHN6n7fWSE0w6xp+rFbCvwhyaIG2jxX0bCnKfZwOnwGnHg4tOteGeI6jvxvLuUHvI7BvifdsQC
XyM5bD3JysbboMzLEJQbMbu3VJMZ418MADyH3rWse5L7bc7XRTRp60U25nhlCgufLJwHmr/Spa/f
c9QxY1LvMkhYY3xaiNvA2RywgwAztDm5m2aKxLE3bX6kXvWb4WJCdoCg/JixTMvjelWFln5YbN2+
ekXcttziOK4j2fbXSyx2dMVlSL2bu6C5N3YDCOBWVlflnqMAFpsaUSyZcWfL1BC8af3ckJZkiwk+
M+DdVAoRcDGMRuBl0go0pW6m+oAPFmQkA5/2o1aMB72ykV8imm5TCz17jhl2MZaVhn+4sblv3QDU
tUwg344b9ndQJ4O3aXCtlxJ3uhap0K60EqBDx0PaxaCqEFm3MZH8dhVhKvf05Hd8ESP5e3qhJz81
ORuLrZ371XpmUHRVKjNoypGSZod94g2htbK0KL8na6vOkmUBIwbcmgacYVsDwJXTgP4Of3SYjf1l
TfAa1HwCPAkK95vZpu410QLjEdTtbWmFT9QUOAZu7JiZmxjpTE/Yg9Z3RfaeZ6mD3Sj2PevGB6r8
PB5tgLIPgGs6gjcUemAnrsbE8e94FGkPo4u74M2Euv/Sf4hb03/gObh3MwtRGRqSQkxyWqe1LTY0
i1VufIcaSR0peYi7hmdfuOkJx+Gzldv1XT20H03O7XQjZLIN2tw4uyUf152I+fvQP9R9Kb8LAL3j
jrP2KpgPGgYT9y5D5AYablpuB5fjMe8IHFB9t3K8JX0N8GKIJVNOGjUZEjPENFaHcuqtDwW4beWc
CWf2o7HFx/FFL03sI0z3hHoPleiVNu7JwU11h8wBKjWNGbhH1mNr1F5eIxO561DW6frfCiuBz2NS
eYRE00e9CjSrB+CYXYI0/hPEytVL2fnVVptGDnd5ASy9vkzXjhv037K022qx7/ypTG3mlLNp1OUT
csRi+4jIVnftY2ASOAB+fS0GPdmJZMy26WRar5OAB2Wa8vhCWnyaMhPOl2VSotv5/TQVIQqRFeAe
cOdEsWrNpjvBD3SWQNRExv5PWaPg+ubxZ/u5PwDB4BRKcOJZvLLPPX5jXhRP8nuZvLgjN9/NCVv2
PMqGcx8bwzUFJpZXAqZ+qych4IpVTEgoSHO7y3ETNPZVtIh6oBcFAfhgDN6i4BRRWsbUu12iKINx
a0zld/yvhChKB4zO0pBMKBDcoE75Gu/gDy0pYj16CLsm3Bs8HhH2b20EdYBIcm7HApRTJbIOSIZ9
04eCehNZUzcf8VaRdgLG8S4CUFiZIX6pKOYRI6keVCbqLGOKX36RYWscHxrDQThrsSF1zqV2tbMA
WU3+8AREp3Fb9D4Cm0kSX7SSl2Bs0qIvsRP/VamaE8187phW/1mgBm2FXKzxCYQ849YcsuyUJIgr
I7f/xdT6+jIi8LfcWhpms2i5MxIVDj8IbNuu//7X//w///v78L+Cv/L7PB2DPPtX1sp7fLxN/V//
NnT+738Vs/zw53/9G6mM4OVhwuX41wIFOFP67++PURYo8/8RplWVZU1uXSUyX3cEtUOwOoaVbnUD
NY6LiJB3luGMvhOBpwXP8q2bNNEMyEMWN2A/nRAAeDWYiew+PznbDnAOIkQWPbxOkzN8zPiYqQsS
hwR5YbChITWguki8NtEfopExL0e88h0c5R7++50/R/AHrWShFc8aYlBbvbbToynH5s5iCZ4JJuDf
iPpHs+Hdx1kv2M+MejTGyTLYpxS9XMYzAx92Mv4qcKJwT+R4o7+ZxHp+/8VBEm8LTdfBGVEgIZHG
lRqPjrT7NZKltXOChxuKLh8yzs2HKAQVejW6dzSyZDTcdU3ruQECBl4HSLcTysafF3urT+w9eBZR
8k0msg7lVjp+vqYFqAHHULw2h6He1j+vo4PQfGWGbnCYl44y9giQs/RMS+sGi669iIBQJcInii90
ZX5NsZO90CgudANsPwhduH6fe//8TXP1//iiIbuUI1/AEcw1TMv59YtWpXYwJoGYrrprBifiUXKq
oQhn8qWZXSlHdV8Uwb0yq8E8cwKSbtbO47Az8nD9q40+FX69RU0mnm4EYajj9XpoxiZY+aMp7wnR
kBRJM3wHdJh1QLgAdE1jZGxGfKm2WrCS8ej+kakXmdmw4hKCuv4iDAv3gsRLpDfa2xnj2w7b6OqU
h3xASdYusIBMF9ScrRugh28t4Bqh2qsECytFm4AKipR0Ci1VLAWj6CjvnBRhlnkEPOFpVwVpeQZx
aHltTCQL0mFOnd5yKys9kIw28/Htp4U+GjL30rCGlkUf2sD+9s8fFX76t58VCH7wMLCQ8CGAPOoq
/aeHQtdpQy4ZH65Iy/S9YeJnV5jak1nW/DxxVnhFFxhfcQi1VijdLa6tlRSPjqm9kNwPtXgz5dZ0
gJfQfAu1I+tb4ytK+vr9GJn+hqwcHD+dMnU3QVs3e5YW9V2GvJONCrR6NIzFVN+FqmkT67OiQGXe
pZ0QQa6M2IvVG9cH890mC4pgP8aF9dpHwCUUSLbJaqd40VtgNSqrsRo0cMVgkt9Ob0ZQNygNTpA+
peO5s9asSni05c0Fhwc2FHJdG/zsG3r/tW0136vd3rqLeBUewDiH/36cZu8No0TtWDlN3/IwOhTq
4Z9n9pmN2SbWQuh7Xj8KJ0xWOW+MIw0NMbK7QXZwjCIf3au4DHYoZvFB6VRoBy124TGPzLex8OM/
VAd4vMkfETq9kqgOSX6qMn1abKDaGVlanui0uDR0boQnwl2DuSf3SGHhUbP9528Pc9ntt8dyHGQo
gEbBMvFWoVfOp2/PaCZuEoR2fNWQceeVDmcX2xzxkxLgXm4s489BFSSRiJQkp2EW6/JkhfrmRk5D
asK+a9Zum2vzur+za4zkMOioKMnVlZepdIVxAEmQmxivN3K6Bzfj3TEugp3dxvxoqUaXiI2h8sdx
j4M2oEuquUtSGlMPGBP8uMhubWi5RU09FBvuA1T37tM+fMLPydx+XO+/XerTTSxr3Sx9e2UypLub
Vyfz5b4lAGaluvYi/2S3XGVZZpENWvTidE299fHRHUWSgBCOutTE4E464ninHxcZ9W5kiK4PQFRQ
S1DzaUxLzGO3jIDQ1MAN9bs1fiejyyAZELv0G3UIkLpVqVXZ1hDIbzBy/y/k3CEcKaYvTVoBj4IV
/cUZJveIdExw+rla9IQwAHASkTHwXVGnpA3z/zIK4x24qdMXB5xgH5PUJqUshm7bFO4Fe/gUWKRG
mnluVk+of4HDTsu08Jr09sWg5/motHmbfGhlV0SkRaQ4fKIJUxt+nk8WEebrCMhte55E2wFpFWfX
tFIv7wCdXUV4iw9mAvotozWf29ZCylFRfsX+MNolFmq2+9EtvpqZs3cGw3im6SNHboOtzJbpAn8z
TUcUKwTJMs51c6KdoeliDVJx/K0/c+zmnDvScMPclm7WrjuWp2963V3d2nT+RKD1wdCS/pUBmGfT
Z6wBpnTGz9Kywo2szfRNDM1iWsagrGhC/sLLgl1F7QKQpwHupxqlrm8BaGmCs9AZDd1DUny5ITvS
UIPyMdSkY8aNfALXuKeP1bQxe+Tia2PQzFGuJXK2BLh6x8aOVGJTouJgc/yM7DoLmXitH3/MpRk3
wTE1F28YEHBo4Y6oAhOpoXCSuh3Ca83KsINN3UTxkWR5IVD6RorCnbQD3hsOuFkmUSDxRlUUl3Zp
HKlnqyH1FkWr6o87qj+mLlkzKhsmI5RSo4J4mdmWabEaRY0EazF1W1c232216yqN/qOZOkWISWMd
Pr5q1Sryy0U/5CkyGyTyYzJVQUFNrUojKqq3oPGAlLWV6evOJlHpK4shKgi1QwDH+/wX0x8fcWxu
HDw4Zq5Eqf5D5v80I/7Q0P8U8lEML25UVljX5qesST+a0hdAll7GpB5NlaxKQhqD3MXcYCMYrWbN
/88a82pOXW1jTbeSC5dFCrcxgGg1IcQ9fKX90cD+dDMaSOZApsaOEqjJosRv5d7kgOMhCx0Amqui
yuQamQH2GZCrh1507YFG1AglX4YoJmyPZVAhzxWVggULctSH6MNmtNqyXBHWiRO142keUzcs7azY
UpcaiTi3XubWFuCxbX4gGa1GvcgvVMq4Wt0GuC/crE5zzmocyuMauTIPpFmuQ3Pgpq6Q4NdrsVf1
Rn6gNMsREAKH0gWHOGVpkqzf1ravP1Hf1nG6I3OuAM5RA/XZPKi72nP8tPAAGy0cc9V23Z+TYeFK
2K/vqEQxmgA/RkNDZTpbNZObRmknNSStGaf5jioYR+lLYJOb/zB3Maa53DaPeZDyVYUy31OivmcM
HnmwRyOKj4ofJdWLKUNoDHWIHo1TVFeinkupqIlN2W36wEaQUFmSrM+iINnSmBZdrOcpft+t/3lr
JnTxy9aMcYMLh3Fd1wV3hW2bauv2aWvGi0nXcrcPnpDw3+0jhSjtAjn+5OL/DJRt1FXNokE8Aceg
BIg4v8ppyEQ+5KtlWuo7GDsknfuLbr5EbkyJF1tIpF8u8XkW2dvqUr9fBa7ANNqSQeEzZ4cUjfkv
KAudHeD/OkqwudzV8Mw9JFH3niDs+rXte6D9VVZxoGHY7Sa/HN96K8iQM6aNaxIXZpmgADXU7gIc
0ZbZcWnKja5mV26jnXwR9MegEHDwhYHYjYGOFEfVoBY5O4CTOF7FAmmPi0KhD4g2M86LPLfwssob
Ua9JRo1WTdWVt7VXGhJQ7CSbrwMSmd1ilw55dpCTjeskWnO/KDK9PnAb9bSLvFTXKSSr13SLdE+d
6Zd0nZhzXIdkSNs1VmOXfVynKbEjxKk0MJDKMnUjf49M9ynUxv6ZJ0l9ALFKDu8Ql9/q+DvpG9tP
PMMfH1ob3yuFKRaopobP1TM5EHtJlgRmeqcsDBZETyQqlQW+sh8Wmh7IO6Np98OEivvE5h1yACfA
UFvtX7jEeN8oz7fo7eAC7NkrIyc5T0dtZ6NE1BPKS54ovzjAvMt1nWn5NlJDkjWa+XcMIvIjjUj+
Y9lZgjM8inCH67JMhgjAvPR8YbX+svSyzq9Lkxwx7tgAniinpKw5NWuuIUglilma6EB5XbNoVi+J
XbWNOpm+nMm4CtTUrjRXmhuXR+m574tVGBXusVeO0VmkevAmQfkbmS9TcRL1inRktUwiGUNx+4ea
xmNVNEdkH3pabwqgv/b6t2oYjpE/Vt+KFlgpqD6z7tMykvsanrMD1yPQ20xhDdifCNu9PHw2xsLd
6cjU3raDle76HjwUoaY7L1OdO1sJz8tGIo3qZdRMlLAyONhIW9tWvG1AooMSBxibIBvaVAUD85qa
62so7BrtfljbcKSYKmSADQ2SlWKGAAN1SQhEOO7VbSrXVlii1P6nYTlHItS4RQyc2UZy1NVoMZl7
alrvFs3eQvXBoqTlmjlqoabVgkvPqrz2O5i0uw2OntadHte+swpQzZhPGXZwfWcBxg9NMiI5I8lX
swHZtpk+HCbAC1m1KYDjoszAxpBuZB9m60/CpgWBnRbWyZ5ssLq4pFa27hIJ93kWDCjnzLIXq9OO
IHYev8kx4IhUQZ4jovYihThaqDc4ybLJQbZcT0AFlOKUh75zXydg8q37IfoDTAFv8Ki5T1qr6wcW
sng7da38JjqkUykDmjnhr55naqPdrRo7iv6o4uGNA2BpnhkaQ7yNEHKmmWRAM4s2brdMsx44VcHL
Wvsb543iQAX01FhFpgFSWZ6qOq2zjWUhvMPyDqnuqox+abI2XAWWYVzxYEU9fV2H2W6sUdUkygmv
ajIEndAfFaiJDlRhT6K0TPtT4/hIZxvC+/ku0ti2PRRguZvFDuXryZ3oWBWYeye3jF01OZrmOQ1Q
XisjRX2pC0qPlVEPerkqlICkpHcKABKZfXtYRLP17XieTVJaIs3Sx7ZMmh2JJisINqljDeBoBgcV
FWKVTsE9uDBKb5FRmRY1v5PpmlafmlicqsD1d3O1F9nRjGXRye3KmdiKZP+83nJJMr5Zj4ZJPL0l
eDWdC1T+tqhX+1H4HYJT4IjU7g2VepN8qQUnGSrpP0rDWyNOjglsfXtYob6Rp25wKrIxOA1JEs49
kjlKQT1T+BG4MH5V/27KjQy09nG+KmwcPqLRMDxS04q01uTq8douwPPK4qI5USMAsnQKUJ1arJax
poTLcLFGvWviOQBNWNM82zEsAB259je4YL9bYdg/1ZaPX4IxTVsQqsi3Kgl3oPCuTqVQkGRpCrDm
aHQeHeyQd/GUpAdd9617xuFji/O++z5o8EW2KmQJ0yYB5/pi6roFm02TNLw1NVGMyQAi4En4D1bS
8iM81Y3wbgFuRfFuvIFPWPNuFCPHrssp3WeynUFbycQUr4Mj/MssGqP+6oTtdByY8/kKZEoNXQEo
uR9XWBR0hXQUz4touS9cxUTlz4V0LuAi2Ormb0DoJIBHqmX1FqgiAMPX+AWFviGY41AzqKvqwVE1
1PNTd1YuosWs+jGTTBc52f66LCkL5Rah3k9lxVWJ4jL155KLiHo0Vc2aRj84dnomjkZpyzNeesXJ
hX93naMq8FvP3DunqZPn2o3KE2cuXr9Knpnirhia4TKC2AGlfeC8+kTCcDv+LQcD9119wypw5tyQ
VdFsks1kDtxpkwMoPgAQ1Zn6C82rKjNegV49jg7MCv8IunAAuh5y+ZCe2oD5gwonA0Pz0hoJS78t
q5zT2bkQs828harV5GWFhDfazuoKvmIdEFoG5ffPkPSx4kFUXiKKw+PQZUzxK3LG8VkUiiVHWfEI
Pt7fTSKtbvx2kq8mmepKExB/1i3v+zkfixzptQnnJSJ0m7ksh2S+obDlSAPMeJSww/eRiLINdm5g
tEghtvdpjdwSGcXtkXrU1ImGn+Eypl6sDCvWQBPE0y4XsbujebPsU5fMb5aU5tAcb9edx3M7r7JM
rWsOJJbbGYs+CRG5HMMMuXwKa7CyzHsNnqVjV/vAfyNZj/p5PDKRL0bDpelTGzRL+XBcREN91MA9
jOxrhGm9SSU05AU4QVdNkYaebONi7aD29VSSkPSU9ZAi+OcjBx8qI8zstTmG3dWS/S4L8zBYmUaB
Q5bmI8erQOlfnYAAi3Vg+/FNNwI91T1Yad0Y7rBVmFgOaNsDB6CmkS+Pk21/bn4nq+soO2a98WFH
w2UaKW5kArsfb0QxpXejoGk311hM5mvk5tlHpHbLy7o6xmZcHa1gAsMkjeduHbrlMccGIl2RwWJK
w0Xmak2ie6TWQ7ie5u68CFndLvLJyuwEKls1+9QqCKRcA9huEyJZqlUbKpJRk8A3uqpLvd9VtHFT
xlwryqseAQKd9myNUkiF4pI1QHygBcJhiPmqn6ZjELLoHKTasHI5L+/isUB2rGl8tSsTtBKWJh+a
Zuh2QP8fjvqYpJdc86eNShJ7jl0UN/Ess78HiqAY8c2vTO+fzC74u04svh9UVUnSuki+l439fUJS
2WEekkY63XucjeVnWcyqr5WdDYdYgEhj5oYRvH7lVc4ONIsoXyKc7O6atH6Z7Er7mE8y+PKe6miU
R7KlhshjUuyFK+k2szwvs+M/e3yY+Wt+Bzw+wrEMIKoKZgn0TRWW/+TxiR3Z25FoqkcwvQFfQWjJ
dcAu+Fq7Wr1miD6uOzW0h6IxkVqTIZNjAP0Qc9iko0IMKtKXdlzsQcrwB63ASoDKrIU02BFFvAfU
wxj6vDZc+vXKkCIS8QZA7H+xsWVX3WT3bl2FgHbBSFNM2SRvcmChphzgkx0ViJCGbArTuTd5FMIJ
rCpHSIbkaqDRT/j9IkcXjNs/l27zL21kiVhejAqMcI6RfB1F4WzyqgILCY/ihzwZ9dUE4p/vARzt
LgKor1Ui+23AfAPlFU75GATg9ySLfAzu8QDKv1SOlSFhOY1xGDMbZK+zw+jivOiX7XhZGq1iKOwv
EjRm5MXD4JxISXIOKhnk/2TAZBcbhjq8AUm4sCeLLhao/3a3zgSELZQRAk7TGWx/xccaSe0LCqwb
C23XiUCulrzq5dkpom91lzoXklC6NfVopUxO7XYxpV45JcGeVpsvOVvrX5dFGMtfdMN/XoImIK8F
NAC/UOBlEafdBNaWHDBqn2QqLEN2Yz1PWsIxhjOBI50Dkh51wcGaFMxK3poxSw+kJBEmIimJX2hQ
gML2mET5aV5GXTGo8mBN5q3lawC8VJesrNur0T3R1VQ+1Hw1MiXFj1sMQ7/ffwB38QA+UFVgQIBw
Scb/kG2XYwMOjDgBIIYHacwDkvRBGxzjoQTE1k8QuaIRCK8bEzw1/806Ue7mdxVQq0Sx0yaXX4Io
7a624aBIEb7tawkMw4PZuE+tbgHFh7TUGFWRAeg2mzyywwv4h9rQBZ53oR3ulrXCpoaHkvMUjGgF
PyUA4p2qcyPiam0EyIyi4UBxJoqw0NgoEpzzwZjwOT71KSI1x13UQk6afbb8tJChd8OBAxVhMaYL
0NpdC6jEwDLTHW+sb7QPxJFK9qh3XPZ1S7XjDTAHytwXU7JfdoQzhz0qhoHAEU4xIBwANtHoZzdN
NpbKLUHmUX0XqWYaXfscp9Gm980BBa0FMNS4JROPFDV+711Z9CGgqco/AWaon4gWrtSzDBkF7huN
RJu7HCB85te8fIXr5pWV1fCs8al9TpFfhb6pGlCivBrpyC+G4/fPfi1tz67TcZ+Vyb7AiRNsFcC2
1GMJaAoXtfdgxkXybJKwrS1747GOufE4IhXY7PkDSUYdDJlhAuIWGpbKIGXGV7NLozOJTCOrz6YM
X90QufpegfJnrzOnFuiWWHGIDGNjTRP3JEdE0kJ25FwHQ3UsVNFCpS5zhQzKNB5yLbP3YW4HeBEv
lTCqimZZ4UbxaQWmpw9GFNj7TETvFg9N/JTF+Oj2KD80UNe7pSGiqeNjZY9eL0E4M8hhfGw7MGSL
ZLBWpCSZLNm0amKUy2lwrKFcDmAlKbCQjtT0UfvRs2sEJXFY/jFebOKf1suU1ogKbLeV5ka92Cwr
cJsXx2mIzc3osuzAcz/FDgfYkAH8zyEAKYCa9mlcV7XctWnfeD5T+mVMWaWU5LmsQWmgNQCnt7oA
cpuWdvupdZDTDpLiY9HxaT0BmuBbNMnHkqXNk0yN6sxkC5Z7Jcdt/a2lTvEQZCK+VgI1DCRvHDhH
U7iN7izT1e7cskVeGlABvyGdXFW0iv6ip472UJrBOwv77PzPexADjv+bsJOJgJPjIOjEdQCJMHYT
djKAT90HTto+DlUNf67rasdCNYPJfKAa07gNxr0B3GiJspMjidhYgkPmdjzPmXVzf7ST4LSYUS/t
OObOerpUa7BhWf9myrwaXZRm345JQ3P+8+q0el+276DJbsDPC9zewK9QPcBRlegXVLtIXZkVwYWk
1ACvDqVVjH2JKhOuREKoA4lEFlyoCwpb1LaEMha7SSKVSi2RFm1QPcyzC8RDRhAHDMTO3ZUHLq3h
1KCuV37/MaLsWZzkv9ltJO86VxqbRoh8bwXV+Da01bGocv2pcaz8rgvxIyA5mVU/zUAadTQTcDxj
O/TZzDITwO3p8FHQUzRhAap4QNdxk7kHpIP/S9mXbcepc90+EWMAohG31Tcud3Hc3TASJ6ETiEaA
4On/ycLbVfHOznfODQOttSQqDlUgaTaA2CBuVFazs8PCXM546izOD4z70WKGW8upPTiYqs1flHOb
yumbYdnle58zXppiSeyCQfIB5f7UlxLQjV3HQ//TtgcQejGr/ALZX3mXjd2iYx5AlXGvzJWbNN0m
n5Q3silr5ZAftRNk0ylLfSMfy75ZpY6gHkVfGMuS3aBVv6RmaNsRtsmao1QeHupThR7iFtgbu1xS
kmJ+l1xDd8Q4USioHXeXcZnOY7DeWerUP1q5VSwhuaCfEkfbQElCWCUqLf3kiw5raCJtrx1gD+5x
80CVK9qzwsye41yKjZ1qqInVCYDuUGXF/ypuif+3ChF58W6AFNJVgd2/DHoRz6mRx2u77AK4/fHm
qu9EvTZ41T0l0rxz7Nz/wYWcSxPY0K4LLS5L8Zs9l5aSeVTadtkOqISn2mDWxvPqHnL7xQCZ60/t
WMtmkcXlwYjwbIaolH1nD5EH5Xt/3EfA1d+0Ms9XIi2yF6yQnUq4NPzs7G5f2W31Cryhsyxdmdym
Bgt2beO2Oytx2a0Z8W7ZMJl/E5xv6lqBQATuCV4qc3kV226sFkEB7zkPzCKKAasur+iMTWfUBOVw
crOeutDB66LvbIAhD5VQSGPXazG6XbdzKkdh2cFI9+3EQIA7e32nQ/OfGLENzm1KUyHFfA12toIq
FuyvW8x611CJN7eqD6dbQIkbnlXsC/O9vT19p6PUr3bSKGECD4eyZ+xu5QvdJxdlzlQWJr+VQYYR
zgUDyMR4cO4gme4uE+gxffUd6e48G3Pz0ZT8KySQpz+J1itraipDWFuAc8IVVF/5V1MZ6bYtJVzV
pr5mBmi123TQlpyKi6jONmGHBz5lc4nXkAY6+Rvq63p4tYVgSLmlrDOCfD70jT836wByT55ZqZ0I
unIN2S0D7AyF9X8HYroLXCk+gubwz2k55kIugmlHQMIusBGhsaNyKpz7fO5ObVDe3X2qmgXW4L16
kYZjeBQfh4SxYoOFPxjeDtV7gjU5JKPObaqu1WQk6Y4d7nK4Y7Ci33S2a82mFlBRbLdV3wbLTGsA
A6es+sjCqrndWrDmuDDWkEm3qXRmX/RnUwUWRPC79DH67M8FNvRF/9+vT04ciZMAzC6vYMlibuMm
bp/iDnw7gHUNLKKP6qkSJzcKm0d4zA83uTa+UVQ5vbuzU89ZUZOZRroqWert5z7JeA84Ung7Am39
4ETDkkbOAh9ug1Ejs33ujttqYnqA3PR+kE2K5WDfTpfnBOaBullQ2+iUzFZUrm04MlAluFsZ8IL/
jENNKjnHosqNVrnAK9FQOy8kaQNsq96kOfBA1OS8vZdtHd4xt3dvp6pO9MNzEJmXVbHXzFVDzN3b
wvfmsaiKp1gYIDWoj6qPsUgziq5IVdT8dxV1Lnh8o4d+64HicHGj0e30p1iXg60F00VYcn/clXST
zvcrBRu6dc95HvjtCvTXdEnDzpWJAF9nSDNod5n+8KWIxnuRe+wkY3P84iv8teI491aUVKPv3nbF
uIrbEqyDEmC9RRLgOUzZPgbkBNMtiJnE064ky6qFyAW/o6HczC9X4+jlWyquMte9yr3+ZR5qumxT
ZsCGe8V/X3ZOThUtVhMvLg2sdrMH6t+Y/xF0henyHeS1oZ6UtQfq+qfP0JXjC9X707gf/3zeA3cr
I3vfTmw73fjtkc6aqfn3WB+3WPVydLGmbv9fff90jbLB96DMJt/D3y/uEVuQulRcAwFkKO8IWCxe
m3xooGGdLL7HIsAXkDe85xHGy1gvHsutlhyKK1UBIGoVsE3m4yeUzEHpEAq8y4E8nu4AQ8UuZVPF
BzbAE7wEj/q+jgN+7RjQLJ9aFAL8FnPCDBp91F8knbHzRJmsAtCrUg+upG43Se2k/lvZqZ8y9tTz
AGUHrNvy4YsR4HMUoqhumHL1Nh7r8dhbSh/06KmdwgbuNffw4GiFyu8bF3PmNq/9x1SbICdaUfp9
1MFVHQoeQdri79eToRy/JHkCNZWkqlcJ6PXrYdoPC5sRP3t0Knj65jowIAg8vzzSgeJ0xgAUfq87
p+nM/6iex2qAYV+XXnQFup2zBFFJ3Hp27O4ic7R2oL+Wt23B7GVbyeZVmNYeT7vgp6ygiFU7+sXz
a2MZ68i+wb8w25tjD1arGUfbui82EMoIbuhgZS2kF10DPiOt8vHe9FsCHlav4M76+3O8hofz1e9j
hNMiZByoctV/WMqThz0XcGMpW+cHtnCcfkUxKokDqGrDx+qHIHt6SpD1fFNiTcRtoj11nSoo13aw
pVycRw8A9qGBqdM5DokmkCPPoxesnx3uC98Cj+7j81CPgq59HuGjWxbWELDFtHcAyA4Xmj5GMPSl
e/gYYB4vM0E3rfGGATWqPjiYnvNUqsy4NVM3vPW7vryJYNxKLYrjrgVE1+03gRV5J9sIfGOBGUsC
sIlt76mODh5+15bMhJiTagrUiCKvNpgw+MtzTdIP416PRroYpqtRwtbaPgUhSItTaB7f9ouFlWp1
Qxenj1GJ+MlNx+g4l/Fm2DlmUMOMxx2dRedDGYlofpXAPRJdHgxd7FvejsdPcZ6BcVymDO9XU4fC
bU0IgPqlWEnwNIH2/GcUy8eggBt4mzpKvMU50SZGv1V56JxGC/C9sXDSa2E6/SmWILqlKmPfTedH
4NThKww15NqvQZU1wA+/5VkKDmhv2d+BJbtKm859FJrl2xA0410rC/lgsu4lnkaQRh0DjylgFqbT
fm+Gst84qhPPqYC8/FD9wqTkniQfYAnt3IIpopcjHIE20dSkmNbWsBUjFkI67b7rQxhW1UHMIttS
V+YCUWb1rFh7YvItlfn7YYBMc7GgNmWcjzQ17XoAZWtwbj91AxLtP0YZkxwD0jAXp/NghelAWuj3
rpTR1IlOcx3dpcB3bajOZPInH4VeR+HQHQLT7w7+dOhlgakBnQosrmC3eMqndEpV1KY8nZ27zzXn
9Ln6IjOPeXGl85Wp5+cLnYejM4+NPwMVQi79DtIuUPabeN90UODP9HDbE87ClfYwZ4qPtC0DqKFk
E4n8XHMRjK3yr/nzheiMxmAf1zlnrRHkDKC7wWpRQAOXA+4+iKTGeyGtdMtAT3v0A35LOP6/VgzG
KN6oYijrrw4eQbsqC+QqG5ru1fKDe5t33Zc0UuExiIJohT3L7pWNzWPjmPw+qjDV9t3aXVK8zMTr
0KTVPeskv2o8Qy9pnNFrfkjXZ3dZWNWnwsrrOW5JyJ+1eSHuBmt8gW4O6OaGWR/o4H+c/SnmF06L
+2eqgfn32/9YCbQmku+Zbe5w23Q8bjvYljS5jU/2iViaNhB4DYc2uMPbgLoKYMZ08qcDnUU6eT+D
aNK9YECoU/w/y2z5BrMz40gFwmSQ0uQ5jCNpICnq5qAq7DdMw57jn0aDKKXYysb6NZeVteoXVHLu
ZnmpuSrAG19+SpybdGZNd28ej+b64rPAv6NYAq1RrriG1TqrQCueSWFQ/Vynenqg20rfC5jmVJZ7
pIMVGf0+N8q1NYbvIeHW4OFQFoLY4OGMHymZROqYWCvGsN89M46FKnrcKZMALh3A8Ii3hWU8fBLC
rUJnG7tg+UOpstHAfrnVSRmmAQgbRF2mFh20AbrAqsRb3Skz6594ysOt2krrOdu0Zq1h04I2U8m4
hnGsv5gH1DKrt2katlfhUL4NKi9vOpHLpx3zo/Ipw+PuJg3ttx5iwU+OggiplzTDipIVs/Uq74p4
T82affn7zej4/7oXfROL0Z7j+h4YEeanRWlZeSMY6TmHk5EvxsdOcQhZ2/+YndcGXiswDZPbc2w2
SO8d+Z6Z9bIhrXvKWm6fGmlbWFjvhlcsdkJv1oEngDZzcfOnRMlEvUvrusSk6TfROmrOenTulPmU
tiPM4CvHfj7HKwaR3KopY8gIdvK6nQ4ltlJAIdDmlpp9YNX/g+frsn///ZhrW0Hg+4HjQqUb+Qtk
gVv2XtI7o3PnRcEd6XbUAfT+vbrFJhdEpFdnuY/WAu4tyaAAX2csWVvcsR57v/1myMj4GeJthFuR
8wYGGlvEThlDrT3kG9jIeofOTfQJtDTsZTqGs7vAsc34M4KiOYzhv4SAbGe4GiHVfOhm7pKC7T7X
jY4dAV/N4FDKpAZ8DRiAMEpB4onL9CRLA5I9tkgfizb5mUxMT6P8Cm3i5ofKq2GBNcfhCxgh44an
mFz8/cbEhODzX9YC8z6Ybs2AcZN7nzQ5RJwUUHscxzuveuzSNLvG60F1SGIfC2QllnyzeghhwFry
70Y3QEIVf0QRhY9NVbZPXGPNz4caTT0CdbCA0xu/chIT69xhUQ3bzBWvFKPDRc18WpkvLZx+QxAv
sL8WB99iyJInhWE9gqYR76TnNVtsJPGntssBDQcxxNSYueC1JLwCmdO/4b7tQAGX/Wp0IbcZdHbt
Zer6w4FH43BgshoOY1La3c6b2hSkAyaufIOXXuxSsOK9i0ygvAk0HwohB1rj13IayG+a0oZfXyTW
uP3YgrdtcyxqdV0xz7ixgjQC/FuBjwhhy24NhC34XnVuYYss9E4+1mFvfKz33rZBL3e8LJvFXNIP
Vb+AZI2BhSqMQzVWBUdoyMXh8ooNi8iI7ZMZdt26TIdkaXFmnehAiblGmkG/cCpoUpzT5xo6q6sI
n5zL46c4NQOt8kMN0y0ak0J0EHUMZKPpRea6rLSx+FNfiuGlZlyAeiPnD1B3vbVXPaz9fNNZ5b0C
Az+toyMbld5gE18+xFEoF6lO25+1s/eTvP2RAma4cI24PkpLF4aAsw3gi9hOhBlUO4nzRbLnax+o
i24VN8CuhFWpTiVtqY8KYpXlqE5Rxsx8G+AvsYNb4dewhw7twQA58iq2DnNrzOQP2Na8VEGSgclj
99j2TIebpvRMyA/q5C4xK38VMMO8j3WTYR3LLR+SwO2WwgqjRwcu9ou4DsaT4XbeZjBCtW0Lm13V
zBp2Gtu6RwkZ6j0UWYN9KWR+hDrPNMkQPyO7axf+GMJp7+OA/f3y0Me5NoHd+CeD2z+Vu3ObzkBg
wQY8nVKnT+lzzDHgKzpfp3DgcQiDI1zjXH4x0EXpxelFr/n0v69/8cnn0/O1Li5zvvbFVS5OU/r3
UteLC14UXJzSWOerZBCae/9TnYMXl77oefHP+uMHOo8Mghvf//3nldnu559XG5oVDM9+38UbgPl5
NzqIdDTWtZPcNWCFrhooI9y0vr4PZQ74pBupm6Bv9WRR8DZ44EN7Dvs1CSg7v2SevikepU9liPWJ
0Gmym74yg52Xm+FO8ya9MXkJ68k2hG8Iulocd6jvVWwXmvzNcO32BaIi3kqpONhXtW8/d8Gm9WT7
ImCkuw+6ql1TVSb0V9XbAm+FNnjvNt4mcu3p68iJseEhTZicdUm5KoKygPdlqKBv3kKiLcgfWKrz
h4qba6WN6I5asG4UWA1n7b6dKgKjga82lr9W1MEYZXsNq5I7Gow6+O4EpIQxQ6vEMOOuTFfW1zko
EMS3JxQVAbCsuCxWveTmBbyKEkYLkiE6QG5gGKLuFu6a2d2QpNldJsyVzlt93VhcR8sqy25TAawn
JUXbZnd5ZCcL08ZCFuayKDGCNFzYoL5s0ylNNZ7fgRgUBhmU4sYhwpLOiJ2nkFurOT1dzuYj8LIB
a5fzOFDu93dhLDugPTAOXXAwIYicmt7z/GniUZWnJq9BGWr1raUNw4dddsZ3TllhT6ie3EFau452
lhtel1OLQufDn2Jz349uIHWER4+L8MhgzrqR0LJbpMIOviYSHpGT7r+tOdub0OhdqcHXz8kA5BO8
u+oTlZVxv6R4nJtsrz3wXcxcHwgQRdgpgk3NgCjHx1MYMmPfKOvqXnkbHxLc4KmWTzDj+YFXY4hU
tTAmsBzZLok7NsUZYIp/iudQfPhTPPRtvrK6GmZrH050JoNBQR9lN75pFuEi87D+lnYQlOVVmIeL
IauD3RhzCQzz1AanUN8aOQBJjpXdzDE/jqGeEcPDHiS1HxJPo+eiZ1cFNJF/GsZ4DWdLqF+nwlpl
rgJisOExZkKu2hRJZT5EUMBYaKPCrNq2X9uk97/CJxW87LAL3nqYdczSsFUT790IPiLwZWGLMR+y
B4EV23UdSvukzMbc512od0HAk5sUiN0Vx+s5hATr57wA2rOeJF5T7b2fUYxHUBytepPhyfpPwsvt
Est2U5f5lCqpfTHOUImlN3jl6qKwroBaBeBnmdLMj5Rk6ybEfPAsKqsKDQiu9MAZM+sinqR6n0zD
VJtkcj/VLXcPSSW8AzUzmcE+/dxODQvtbiqaKz/6xJSh4DlNTeUqrFU2L41VBDtrms6Fo/sG2cXi
hiZsPxIR5k8J1hVvIK7zRjG7Z/G+SRq9ohkfy6AwiZcNY54OcvT3LT9/7w9/jAIrn7q8CWWGjYST
4/Ul6zBHS+SyjsBQpYNjuhaerFX03s4mrkNRSgQpX36qPPf8lD4naAhqnocdZTj8D0k0zJI+P4kY
B+QKzlyBhaUR+/MUKnCGGBCBtLuLk6jCa2EFTWVHiOq7sK1VNUlJaVY8qNwPnsYqg5XV6Bp7X8GQ
YKwjEG5xcHj1KtWY7X1hv4co7jbgQ8CIs1h9SkDrPjpgZe3+U5w7UXxTh9lKB40Di1GMrRJzzWJ7
B5SQCbQFUP5hEZbPsBJpNz2AYltqZr5+CqwmuHVY2t4XvnkdB3X13MWAVowiH9fUrOJaLTheEa7t
Nuq+TiJfFG+KCsAfmH+u8sGtnisIBy6zsoRo8jSICwVUFvhPCuY+VzGLt12KG7hYJVzfpUmabrU9
ZFDySXLzmEKRMzXa8jaHFOV8aBk08D2r7XeVJ0WwyK0+2MNJ+DuVzLHYd155XSaHuZnB2X4HGoJa
iGms84DCbU9+BUsci5sPSecByxYb94nn1CeVQfgj7YX/YiRY3i59MNOxITDcZan7jdkxf4lAuVj5
4Hkc+hE/R1CKWEMxzH8RDD4yPFQbYHT65XmlQUVaXtPyAhTioDEKW6AtNc8JKqZsh+2yLSU+DYB5
JLwN0wRr9Zhx7xN7vP6TOCMJOaqu9ADhN+X6TwqPVEIHLbTe2Y58bNZZbBX3fTpW90YfyD1kVzBL
b4caPm8t7I5rE+akc9vNuyWfPFuoGsjgbifz2xboH7ECeFleOT4D8AZeU0crqt3d3OyUI69qniFD
RdSmsyAUmP3xCobhUIV6T8+VsdWOu6qMIfXLLGMdxqJ/1q4P/2OgoLLRsuGZ08V3VZV2B+iwQ1Y2
gLQBXi7wP5ga/rUdWxaWtTJ7yaIs+c612MYCfAFsDtfbBoijXaAL8Qhj0SsqGDsoLSWDedkzMaP0
C5gpKZx9IugnsPiX1TTPRSfC51B09RKbQOy+9uExAmRHh1UzXu9NHok9Fl+dk5OPDPYPZvKl84di
6fZV9ZLo5rHqku4XCx760R62Mk45JCarlduOxXMdARU0lvWwBeepec6wv+tys/3WYcK3MqWVH824
toAVw6J0nbffNHwcFyZQtcvcjDo4p+R4T5ugbQq+AfaKOzq9DuqyPwB0fkg6ERRHLD6outcnyiVN
Fdkr2BDd+hx4bzcGYXyR1kaArZ4kx2afcTPGFQS18qBY9sxu4Qkc4pUvByQZywT2N98Ybgv4xD0I
0Lz23SiLDfRdzFc/vTLcxv6WcuBkIEVeAEsJrS18r47pdPC7NFrXNjxFY9D921vKCKgR6lcvrNNj
Fjeo7woIW7HRwkQdj99lr8JD71pw6tPgg2N1228OA1S/mx9m7LkLo3OhvGdlChz6VnhfKO9xbK8s
4FF8C38oSERi+9jTCXbXU9d9MIvxRym4OGGZwHsAOhIeRBHP9nMS2+HrJuuhviwH78FiPN8XTd0v
g6nYTQx5GrWFJx1avlNn9x5IwdSTQgDR/P1KPMCvPY1l/teVaLQkKsv/utJcIICr+vg3jX0PpeNm
IZhnbuxyaI7OdDAAnp/PwjSDSSi16TC3z0UjaFUX5XJYtkOTXESo10VVCmpubEovO6W1++ABeLqW
lT28Ymqz41EWPSrosx5+j4uEGV813tj+FG+8FMiFMi7WVh294RY1FrFXOUuDhxg1NJ6lwjwvaBJ9
lU7xbOyH17BJXqCoMvwpDgdxfd8AFjfXt5i+WNhZBgbRjJ1omeOdfJHAQWHTzhZldiQ2lmPBR5ja
Vt+2V21f4OFGp9FkboaFFwEGnCw3FGNFJt7TghzQ3Dpxjk1y2W9OUDkdauiwrWFQCXrINCLF5hoI
4P9zxXyMv7EszLbzZ6FKiK6luFik+LZowvsZT4UnUxOBnFUT+opidBATVuvcvIiJZBv1RrPPq+Le
qMA/kmmNuVrQPHNYDo6YJII7VDnX+OWTC4o7KmdrblfpLjdr9RzUkz8R+Agwz+puAVf4hm0F9Qx/
C7YJLSfcUKeqG5+FHrxbLBiW99bg3ZRtk4AkoYqNTMV4pANP+wFmg9meWnGF/e6szQFx1xDlmXxj
EKAo9EnQ5j1770jBogqgGtPBo2juREHOms5Y0nh4ipdbF6uGQ78ouHi1Rqu8cZvewhqrzLcg+LJo
3XUlVFnNIofeNdLnA6ZwAeZqTbmuKwjrrmE7ZK1SVUL4UzXQfeuxmruUZQ6bqWnzFtrxGJIXVxxg
Hmcd1Fl/YEYVwz2YNniNBhww43O0E2X0QAXUgWvfADh0VOtQBe7W9JvuzvSdXxbe016FiOolTP/U
iZjibVHLVQ/40MqLeX0zaP+1clvjETDH5MCbxltSU4FDuwYmA4SRmBuPLQP5N5QO+LhTsTuKmy4o
8rsBHghfneTGnYpowALatNSiAV2z8Ca7YuPRBuJhHpCa8AjAn1/D72oalELToBK0ojutu+Br4VzT
lX//lH2AtzYa9NOnpGbtRZB5/fiUJgPbBtjQeUAHy8VVGT39/inhHxAuswTuszQ9Twv11mdi3NCM
neb4FKez/xHT1eeu5/74zXXg6OMaayOQA5jfgP+3VgU4aKvBXhoiGBVPGPRz1hA9FMvDPDVWEKjt
ypfe95x91YT+qsrq6iVty1/ADOFpnAzDbVpiu0IE5UvZigDixBqax1Nzh5/G965dmGJ+OnXFdOAX
HLX1LURk+n0SheUOfwDrcD6MAGYf4D/jemsK4isJDUE6jZUp64dzqQXfhE2o9BMzuwTeUU2zDAyo
XzUJ5Hp4sZCWAZ2OQcfHrMHXAIrNMj7W2rSiTSTA2amGoNjqwq9vQLssdpGG+WgYTy5v5P9WVnm1
6wWY6bHdNzd6FMhI7apdP9TwM6Ig9Z5M5soUzD78GKfQ7JwKaQjd+yMIwLCnyHosbpWZDZu9snrq
4UxLW3eJZ3nr1HTEng/2RTwdAUkDxkXsvSk+Yg6LSe/wKqY41bdeUh2AF+ILUjlUAJEntsH2pIZ4
Fj4c8HMHKMMkBvBRQoqILFPqigmFN4cFqE0hZB8beNZuAbv3Vjy1QHwMa3WrYqZuwRVtTpO4VRgk
MAWiBFcNVqhyy9wJ1kDYK7FEvfIbyJRDovlK5TKfTDRx2pUKqhJeup5jzlAgDRVPsbqojMPhCgv5
447ScvRA4Zg6f67uuGiXjieLVVRgn25B+YtT6kTdLYmtocH+7hjKBShvGJbOOLQ7ao7+MC2Mu+aC
moX03C8Rf/V8V91/qsfbtPvF7Pz3eizYJ0swIqomgaFwG+1FMIw3UeYYB8HiG8mC8YZCdOAOkMgc
JJnFOUYlo+0B+cQUdi2n/udu+HWE4bkRBZtzLJ8G1YX1te14ejiPpLQ0b2yQzwfDiq7PA9WJx6+S
slufQ3QW+UzslWA/zkNT3PWwrjlatVpSc0wAh4SuO36OB+0O8yiUoQuybsJ3KKfdUYzGok9YDsne
z+zo6jw8N2FjEGP29fFnoUq4/QSHxBku/lI0tBGWIGjLfASdHsRWs46CQ5oLILjAwvjmjda+6xON
KU4PI9smGn8kpZHAVAX7hZZvVCsfKKnbmIO10TcGJKo6p79qbFVtYjsDCpv31VJWyfhituy+aoYe
NksmNCejBIoNHvYc09J7Bo1zwJaS5d51qbQ3Xu8bkFvs4mOgS7U1gN251XUG+VFMtazS0du8i8pr
x4bXxYJOG51vPajwHi9i2VQzBND1m/ziqaye9FoojmXvcmP26REz03EZ8Fg/QmdyWORlY7xYwn0N
tbLeRhiWSoiqRgssRGD9qXKSRRr9Utj4gvJEFx9CuAG8hV3xGmDi9qqgiQWqQGxf1yBomhMT2jfg
RC8b+FMo4jFTMJvIzKZlXhvZWB38Ckq37nRopen+D3EA3/q8/OSAjuc4Fr5Gts3+tRHiuTFEc2Hc
cMcr4yt5jJADSTPZkNCZSKJ0EcGlENsJEyYavPjjue5PsXNfWNbWxzAHcl/+qIEG+qp5HZ4+Wt3U
MrL8R4VFvTk3tfK6GRaOo3DZ0nC+2IAmrgbesU2ta/dLUJjtFaB8b2OGl6aJsLuTrcVunHTIlsrK
zfXs7BzBVGPdTB/+AhNzRsPMwcSKzGVmlcYaRi/tUodGdop7370bHfmjMHvrThZwssPbTnk1YI1l
rVgff+1sPH5Ug0ds/NpmhvmzzNsS9sfQnTDhpr1pUjuEnUPO/8diofdZuhObVtivsgIsZ7qBBely
/Gdewi2SIEmNpivvGnAtA7zFFab5pems1ziF10vKzZex7a0HF/+ObV906c7K4/7hbwWYK6TXg8mq
q6IH7Bt75i2+mHiwptOBHpfMUeBeZVxtzrEKW8n7smpvcw8UgiKXYMgnKftaYCq3yCEIChaibc/N
cxbiO94CG7PTcpy6NQyoAMG+lyx0YZEBX57YLcH1hYcvJUJn9Fam6bP1OWb08jtTVXWkUKjqCHDS
JbYIsBAeFFAt7nXiHeksNEcE24/2OV036j4uYtAuYqWOf99adNi/kBvwUoH6vetDbSmw/vWNipWT
pvC86W4zE6u0gOM7YPUDDBDKCtJ0rZlxbFEnu1gxfJGqFnbx53QoRjhSqaSBocpordy05xugevqV
nizg494T94P1gjWrbvaNV/hLLt0663bkNmhZGh6mTQAplsl8kEwFocoJlcY4OFGvTJZ8A0XtR2w0
pQsKySLP7233mRp0nQF2UBejxni0roQFyYZY4EaRSsEPvMHE6gqQnfqKztIpA9uo+9TNwi215jrq
Qm2q8/sSHgldjV/ZyT5HQMeMnCBs5gAuJpon7Ca2hyY3B+x7ceslMoY316rFHavi6mYYsThBRhKp
7tmydhvjCBKz+Ao58x2NQ8OaAK/D2/CrXxx6OzPGTTrG8mpIneLKMLAXVotu30AcyDpRjA4FJnh4
Ekws6al47kcZ6lxIZjSLqXeRBe1+Tpdp4e9Gv8TDXugXgPaT74NUsBqqc+PWqFv3KCP8L1KC59+j
Ebh/O2niDStctg+clH35Q8fGYu7RHRRW/0vWvwb9W5AEC7cak2sC9VeTMTuQDsEOnqEJENn/EAAo
AZlPiPgJfFs/JX4fhJJe0IafB6mZmx0lz14ZJmoa/L6ndgS1Ay/TWNCacG1TvJvi/RTnv8XP9QAl
XdTbvWM+lSM2eQxfGGvRBfM453oa38udGB87x76665b5KnKKLX4TBqgL4VdxQyoU/CMTO/2wJ4WJ
THXQxWwZltKjKyfm5VOj42GjBbP3RVzG93nEmkWi3fztoyLwwXGiihALOfeFNb5XQHTpCquKfxlD
Mni+wFEnhYfann4izx7VuS4eAW33971ldJCzR1NMZbrvoTNBxZ9i9KP60U0aApJEHDPx9bvDsevG
2QqazZzjBWwsYaHuV+tIh9CeEEaV31TOPclRDNjOu21honAbTmXxVCaUdk/QKIowYhrAX4mr4XqQ
gTK+VIUX7UAQhvVBCIPPA//94HD/BIhUsz3HnQIQIKhKRSDug4R78CoBPcDmENegHy9Ir5Icc8OJ
pu6RNiYFqU1nXJ76ofNOOt2FzMpmN+cU73qTWnrkrHy7zmbr5wv/Z7jsuF2dXZ89pck+mjoI1u26
NsHVP7bhaU5uDczFxihwFvViPqdw7ho5lGJ6f/33OfxQQuWw7sD8ji0x0VOGul2NzPSwdZ3A7Yna
ldF5Szy1jAVw2FB45fUJzOlOL0Zu8LWdwd9wblOqG4b6RGf4LWyPPNDLhKopAQnj9yw1QZ65r70Q
OES4TCXJ9MWfDgXrJvpb2JuQUbfDFQWZJ5PrrgxwSBc9XhPx+w+J8STFq9cSqCqI8mH1rJrenKzR
KUDZlGpLTbOp9NHGV3ARhzGgL+wUhgIu2pBD84/nAxbnq1URutkyMj7SavLhg+kNZptUSe35bHSm
MYr8weiiehtAde0wALxiSayx+8cMUk5X5qBsvG8kdbmiUyzmyf9j7Mq2G9W17RcxBki0r+A+duL0
Sb1oVEvfCBAgvv5OieyyK+ecXfeFgaQl7KoYkNaazarmFjxZ+x5bp6vxtqbkyAHQhgXjYK6vxoGA
+2d+XaQPXiKr3dWwnnjVRhUyHCFpfAMPKkXxUV8BfHSyfBndzOZAHOLARtX196WXbzlAv3Trje77
pxm62eh/CAqa8ZpUbRzJjqcbSpVOPWHWnT5QUzBkuO2wnxqydOn+HD5Ye15ir3MZaFWI23c1/JPA
sfXN2XbBgUEnPFEBoZUDMG7qyqDW8PDfVy/efwCiXR9G7dR2CPx7TOszOB8GwTnpgCQ6Q/1BhhKP
nTvq1N1udPwRG0m3veUVXNByu8teygDgjgIQ05+xd2MA8f9LDuIVW434jVhxsRoFnoAxTfKoyFEa
smVfnDIlyThR6El3wYs5+f2tmDzclKrbGe0MfBpZLwaKelL680M6sttztYGQHodXdOGdW7Vl+N3S
Y8kAmVs1VvtWssGiCnB4VC7u9CHoyDuWBcM+pbV7YH053SDdDFFq6BigZiMgFe9Cdi63+uxHXf8E
MaT5Zk12AMuWBq6QcyBBoaJyLTxmvOL3fBwCP/thxO33xDTcJ0Hlk3STarpXDph7x5JQfUx9ETG/
tAB8n82jNq391IRY2bz79z8h+bxJsF04+aE0RV3gbWyi1eCuNgnMmpTNWjE9TWACQz3ZOibjyN+x
lpg2IoBjljml/N3s6TquTOvZFbI4UgjARMaAME9BkQpgzk4yMCErgOlOM8OEoiT8mxm3WMtOII15
E4Wty0CeS/sI6dHuHRgHuGanzXMwpeOhqFx/Zc+W/5ffp0U+71exAwImGl72kJKxAmp+0rIbDceN
aybiJ69p11SkT8KnKVQ6qv4xNukOSVLvVUDN50CEDcSQMXmvMbRIVz3cDg56NPXTfdpK/jh1YMeY
YIfqqHbuYVXLIP30JCAHde7oXB5jB/Y1Zmom36g3h/BDs9+9OuYb8Eq6/RQDOmuk/EUH1CZSJBQU
pTNk28tVX0DivJlybGDK+gGOMdVDVyTxDnbZdXTpQ2Ihi1xzaHY6RA/IIYsC2yrOpEjabeJ1VjTg
7Ab66d91QF1UErILNXzdk7Q7Bj5PyQaAh2kD8V44e4/pCD8aPr5CHRagKjj7vkO6bY1lL0pgJlTX
PVKIvdNK/8U1oROh+qvBntd+0Iv9VMI/kScTeNvTIVc3plQuplL5meqmZ8EzKZBNsdVaqTzuoErn
QuwEPlnuC2CzjrJDlYBQ3xD8Y9mUfwN7IG7WCbWTkCm5yNRl38cgr7AN686pBSEwBzJFYdPk5lM3
G/5qqGV714ImtjUSLzjACHu+iZEm2HplWp6t3LiJCXBAccuz4yhXwnSGo3C78ajPQLj5ONN9oHoi
dW4TaDoHZQ+KMmSw//2ms7Ud3jWryYYEpU8Vs8nEg9PT41d3XTcVvazrMnkCzKO8qQqHnDwqdg0z
IfmkmxLWdwxuX4lyx6KnEo535VR29zng5XdxXEdxnA7nuvSndV3bwznO8TfTZ7rvarRzk1XWDn7U
kzJ4LOp+bSvsFXTc5XGWwK8R1ewgZLLt0jbb6FHRySbiHrTs9Kg0xU1Z2uUDuE8AEEjb2bLSOnQp
sW616VSRj/muqcUQafuppK0kvPr8b4xXYTGY5TMTrXtfWDHcdVHOyc0mOeaG44W6WTid2BKIdcHe
HqMtykXAiaczzIzQTNLxJ68MG4LQaKkrwpLBPywknLFBPve+AXq039dMicg1Yq1fEMC/5vCAmf0b
bakLeZBohOH08yhT765v3a86yp067K7VJMfqwxkGuf0epn12fgJ45bGyIVMZM2iH5jLjB+yj0k1h
kfrNwu1PZQuZHJMA5IRsJvV9r3mrZ4CyTDZ2m8X76OKNZA3KFqmb6wZqKFB0ZVZQJqvLeF1Z30nW
ZFgbB0N708fO1lYLv1z91YPUa++93P9qlR4MS353scn5CqYgltdaFqcyyNLUk3TY7y452eBL6OK5
rHzIqjaD3Dc1bIAuwXNcgRMtS6ihqA+sbdvZCCjfbNqqhpy/P/wIDIeHssvjZxNopzUwc+1JxAmc
hcCU38JAobpvWSKjzE7991wUt37ZWL/AYwUAK6m+5yWbQ680GFT/kUazsc85TnQqbio8pjczgBMP
jscBj8Hv92vBnX2e2d5r4lYH/JXtU9IXzkk0Hs5UczIrL8Q+OljrPjfuOLZao4UFs792Z2q9uVPG
kRfPqJJhHR+mXw1DLR0mH84PSJlF8Ftyv7bcIRD+sac7mpTpAV/O2OSosT/p2CrJ4GTkEYg2jfCG
NtWhaX3Rh4MhkM7Aw6jNzGyrW0vIDFTDWMX5dM/gbgqJA0E2U0nFSt8p+v4gfRmZLffPEAXg973+
vcHSZP7YqoGrvGZzMZwuezWDBu0GrNAx0rs2Lm+z0aFrAVTBa8LhaqF+jHaOvRUJjBquAA1E77rG
XxH8XKutH/N2s3yO46Tm3htyGLzEYL/30PpbxbyYH0rU9myDP+k3dWG/N355aUDehT/phRPC9Ejl
0e7olqW6YdLA+xIYD7jHIJjcJXCjmGb+y7axwZ6h6RB41YtTCvHVaQHUZnlWvBfsRcBOvJ/dKOB5
s3MZ1F2msmUbiyNmhFn7S22lYlU7FrkbZ4n0ZEVz2G4b6Qm1AH+dDqx/FHXHQtjtpF87pMbVr6sZ
ivy+UelFWL1DA++fljTzQ10G8IIDTwrvAyQsYftbrn0WJ6tUNamqAV4GZr9IVnifoBA4AKhyFa0D
9ZQCrMs049N6RBXwUNUJFF/VWcwHmMgrcUydhiiVJdlF3nLJSgjzxs1LcqP7YZBdRfgH2qEx4pE+
iDHej7Fnvv8K/HF+n8wx3RNejmsjaeCjWvD7mdbpY+en5gmyo9A0UcFFGyeRI+vphMRY8YgHwxnO
ZtY7FXg5+EWTh/DZdAB4RwkkIUkTzTMYsd30YjiV+yPp4Oph8Th+BASbbIdBwuMLey24YvQ3RmYX
8MuIvVOcAeGmz3TfqPpS1afPdF/qOzA2iuv7/0fsv1/TGPn1J+rrGZnxUpbJtGqUiqqbyvEunfuP
lhJRtRNOdnklvFBH6AM0n5KVpbRMLn3IG59pLu0juBTzyqrSBjqqqL5M9vTEsE3cAWgc70hO56ey
D967EY72fw0oAFiFUEDowr32BzK2+4SjJgVhLWCMLC8/krpkJzPm1UpmWf/VkBkSZGX2w2tRy5yx
yrqv6hHqKCNIF1NZp09BCW52RxP7rmemE1pt72DjgWplWlb1c5XEMMaO7Xyvm2YxuasCElBbFCua
57JgGR7eRbzRo3bpzlvHCchKj7pwbANvAXLeVQr5kLp0GaqpeBU2WFPjnpskCvJT/Q3ayeGgvLP7
BFh4k+XuYw2s7naCeONexwY5NLY9YHU/xTbArj9yFTuoWBjsen8hlbqf96BIn1MHotWO5ftu4Hz2
jhW9lZpBIsjj8m5DNXvbZLm3MR2RPHHADUJot+c/ZfadZ2P7HVL8+A+v7Pp+gi/7DmCRcWfyid9n
vM8iT3j9d7/9skwB5SX0ndx4dMoe7NLJ6Q4Ur45b25/zVdq32Rd/6HY61pDVncRN+21K4Xzjt377
aE2WswMvdJdbFmwNoC8Lt+35K4w4ngbLqp5YA05PgG3iWvcTyMMVVvV1FDLBm7Aa9iLwjpD6TW5G
NtmwKubZ2bDbjzOp+sbYSM9Vbttrqc5i9l4TCjhGT7K1lq7Cb1eELYifKB069hMpO5hbpfItHZFd
1WFzYoq/LG+p9dm52w0gZEtsh7og+8I4TpH6r5a3JsO/yOCzDWLd6O111c8Fhb1BjgOFwjS38nXm
Z2Jp6gIg1l0g9erhJVJPsiyAojeXIqKe6dcV6p+qurhEwncdXhGWUa0Yjc0bXx0ChdnSTadpof+t
T3WnHs5Jka7cygXzUAW6FESqUJ9eJn66zmVygHckKtZQAHQH+VTrXOu8pFMpykopyiu6Oam+KZcU
wEP5xHWcW0iVdkXciDXEbunUMRYxnxKdp02hxBT5I2hhE5O/MjOfv0wUqC9kSXrIrhbTvZmPS79M
p4/+Gfo30AiUvzQe0uqt634VT3rjS8JKuEE1lXUy2sk66TNkicxTItbBJMurbmvwZjjDp8GwT8r2
VofG4Esec+qdY6e9B4to8sK66/27MpYWsrGOvdJNfQDuDtJ/hryxSVY9Te4wr+paFFsrG9GEuAgW
ZAxkTE7BQGOc3veZAzQ7YvUE8H+ey6R2T5fpOfcBrFbxskgMaB24H9MtAE/WPpxG96Id6GkSDoUR
l6c03bobs5ssuSJTZp/SFrAfvGFfddgwBYYMjRwOdCElso2wmsnXerI+XAVlvrtcTPfpa13i9FV9
Tl51v2V6HV589tEcarj8EOWldDnQDBnFSxMC+WiaE983jKwu/fpMxy4R6iKfpuqQz5+hY5Iu9tdO
hZXHUBHoX10m9rrdGRl69YX1kEyTegd/mzPefuIBxDW6hz/rEIIRKB46dZhNYBVNb853uqkHQPwC
0RKFEDWpxAJ311Do0M8kHpa+mSV2WNgAWep4w8m6e6dbxnwOiEjm0VvamfANmLvua07ogTkwzwp9
E66AVSB+xKaPUjpyHS8xcQCdIulwl/KgBgEsrbf42rvY7YNbmBlAB8uujS8m/NNnZWdUN+xXQJj/
VLblvKkgSnrQoSP1YcjFXfZlnmu8jBHqp1DRASJH5wfLxpC3Zuu/6QWwm5vzLdzV3i5jU+C86SWw
QZr5Evlf5qlIrFSDM2CM29izpxMF0O6UYZW+EawZQ913GXDUqG6i5iLXgHQwMBimGhRyNVnEKBLw
toWQqlX6G6SQvQOv+AinYjhPmzWbX7re+qpBBkhnwZzEhjiCnaJSwrFKZNS9q4bxGQrwQKhLQwDM
rg6JRbtDOk0SSf1Pp3ocHrXdAbKTGF8mcVCmPk2/itGnac/+ksVzPr9NwDO3XeLabuBaHhLNn3AM
g3Sd1gOm7dhDNZsSPzlUlkhDyKsgWaLb9Tz90+almRwaNS4t/OZMdaBFOu28joQtofFOb8B8Q3q3
Q+vtrbEAjNKWkIIqOYqhRjoGNAkNSORFPba/Gbacj4vtbJ4lYZ4bxo22nS1Zlm6hCjWu9Ghsz/XZ
n+xN0bsnCnSz1jS/EjbXp3DKkBtZ0maRRveTPpkWOXUPGhynZU5qo/Ccdvsus82/4A28P9O9DvFM
aOg4yMO6HjKinpbbuXozk4JzS2RwhprLFsrCSpiYhMs7zI9x61VBiR0Y1slwTZxT6+gP8uMtpV9d
aeocgKc6tPadTqowP2HHHC+0JScfkzzfyKaDBIpK6nUBzcNSJhaAU8P88p+TShBNlRBkvdMitozA
r33EvmHfAJ656N6iaI+XpepzlFyzHojpH3Fa+/bS1zekXSOrWrcwO7RR2vZAN/NghvFgByS+rfgE
pQr8/7yXVc6wsIZSLg16/jDy+UX3i7JwUBHtlFIdlGcC0USjYO47GDlK22XETkc1TXOORO2kr0Fi
QmtDZHSlp6uPM0ureBiw5Vg+Tse3Rf3xcSVznb8sgyGZ/gc0C7IqyrmFEFRigCMBpOTTXeKZieHa
RkdOcVxmMNh8N7M36vHIG2d4hqiDiSssZ/+z71NIVsOURl0kIbDX7hkSZGy4M/OkPg1m0T9gtxIc
82C8Bzu7f9BdgjT12hGdWOumHvgvkyoYv+oAfejUJE9Nulzo96RRGTAlQVmEDDDic2NDdLcu4LSB
v9C5lA1K3WAuwKfJSPhed1oE7uzZNAA4sIXnQLz2wcYNIm1COAJJgrsPslFgAx2Wlh6orNrP9vqU
tEBTenDiu8eqMgpY7v+wG++n1dTytY4B1CIt9g/UgoZEDkuPI9YY4MqmvXLZow7UmaB4zIAKfo4n
iRUhtC++CXfczgISw6E1+FhqbgPHJgp5xKG2qrwR9P1fZHmwskFwjBLIClz7JyztHnJBemI6WH/5
AWnm6CUlrX8/eMRiF2Zanm/+RyEoY3XP4bE9wCV38m5iOuP/EDkfvDvrIgL+DU0ACOoj90A3gHFe
7exF2cSRU5SogapOfTBgoW3C6XdmIFjzDnh6i649h0L+ovIAatDiCZkATEtU8wzlUGgpgDHagQOA
g46+DGhtBR1yGdBxesblUokCBZiNU4GbA7J+YGXJ45gaJjKoKUf5wJ3OQiKhjf0zQB3lm5iNZueA
Ch19Uku9SKuaBsm3rlGj7vNXWderkIKRzTAOM1LUEHyRgCYdsUH2Xzr6021A1C8AMjhUno+SjwRR
X0e1yWge/aQMXpzqp6bzcwmoaOzACU1HgQiMzaO6lo7CtXT3JUpP0teyqiT9mxvDJ9IxfhqO6cJd
0vJQtqCWb33SbSJQsBAJPCVPWKv5kd7c6EOSgS85uli5X/r0WSmnyCxpdrvsaHScNdXXcSLzyzPQ
viDndNmt8FPku+C5iHxZUcKm4gqS5gsYjafQkt5qmBrUvGHSMmRfaqdkyGC57avRUuO4wNcs5Q+F
P/9Kx7YV54/VcYkcYb4dibaly3UEzVCMzPp3Pwc9OZJp+eZ7rb9cxxQE+tPYM2Fp6bWrWtp4HRd9
s0YNNICpk5G/EI9u9WZrFMl1f1M4Sz+kNq77VbzezLFCvoOx+Ng79u1o9j3WzyM7+1b9iqw3f3M7
r97auBlQaOj5G43t0we2J0N2kDXxD6iOsBMZXPKsWnMcM9hYVVS39Jgz98uYbpn/RP45r/zjKn/O
M1qTnfRVqjhbPqHMEyxG48GHQ0X8439NLhD+58f8+fV06/dX//PrzX4XTXDpPQ4FCPAJsroNgAK1
b9yh1FyuKu40j9hplpAb7ZvHynQ/+i6jlzMdZwwd/cu9EHxei0IWnviO51l4VFLTdz7dCsDLDqBU
jcWp8eBIb/XDgHeirgnQvMXtChktYvfzXve5qt5KA/7cp850NOY2g7ASl5FmeRpGnJ9wZ/3UzEpb
+uy+d6eVZnRqriaNWVRkslwIpIHHv0N1hCP9CjppMIEuPYgejjeKFBqAQ7IuE5BidNMiuVwTe3xP
e78IG7h23YtK0HuUoZG0SyAGqfv0oU84ABqth6SfitMHFNNyeDV6HnKFzkdfZjU/iAicg6BekEZd
y7cFAyReTyg7kLnqYT2qT9E9c2vxE0usm8sV6FDEh8s3ygFVWzmoOB1mE2DJuuucM/L349GhIltV
QK99laLbFh0rXoMsTXftgH0fb0zyVjBkLFUAiUuympxAAGguU9TN8bPRA/qSnh8Z0KSaGjAKC+8v
okCAUX5acKFwAhVAAkivDZgBMhJ/JrkA0Y+nDBzRI7xEoEGvMGWGEmpBxunooFK9061LPzESY4n4
1OcAUL/yoVoW9QX2vEkZz1fU/QtDP6lTyFZAAmIZvQxoJj8pjY+5lwEqazDs9YiTgrubu925h84i
hAdN7DawoZlCfWrXVQprmViGehgSHkUO8jYiRZXtGYnjA77bcDADrAdK+EW8YZHNIuitgVgphtsa
j+4fSAt9OlFDqPp3P+a5/zQ0oWdWQ3/ExA5+sNSZ+K5duzCBucvnuLvz9cqBr3TP0tD97dqq4uZj
+KOHpTILAR6GGCWQi1HVT+y2BK5hOVSzax0zgEV7d4btKCjm0IMDrOobrw1vdxWnpnkEstmDlYho
9lEEstoWPq9wBLmhcq8rfbrmlwL/1IeeutV1+3IgTbKex2YzcJo8sqZNHp2xP0Jmg98urSnud6yf
Oe5kAbqO76O4XMBDYswkoIj6VB8q1anPQDGvwiQTIJapvquBQf5F7dL9U60R/A7LwwPOcakbWEix
f8YouN0MIRKPKWeXGmJ74RQ8j7X91mTE7aKHgVnFU5p75ZOAjGxInMy56akon/IMRooomoIBopqm
Ubs3UL8pw8zCrqcXAFfsmVLbywozCLH+4tvETKqzPtSpmx8Tnt3odbxe7+t+pKD2S0nVLDK2dVJh
9E04SbpOjB8TWKsHPP2+Lo5aaVO6V009Gsz0a69sVLQ3EKggS0S/WKmo+TCEvgf/HVA/Cy4ZyLBA
mcKgdI+nUfLo08o6jkHxOk2gBUUDFVbYmMPHaNZP1lFglAdG/JcXjvWJIKD+DAHuaSh2WaAHIJv1
KZfeuqh+YK/QHvMht2ca1baFxTTMk2EsUucmR3k6dqbvXJpw8OqG7pEU5RqspP7M66x7NJqEYism
hjUHowDVSaC86iD2HzLIzIZgTtIDxA38h7wxhmOOxdTcuEMVzQHPsGEKyE4HVyY8e8Ew3g05n6CJ
Pshy1UBpYTODRvzQFBQ4Aav3zK9zWsHkZx76jUkbsZtTJt/43Cwip0nS9BsqJgFTGBhodOjX4G7d
f4kvkuv+P+M1qLwS+Y/RZ/ZN5XQtsuE+oBLQEokcbgMvc2nr4aoEr9QZgIBlKdiIqCA2R0cRGBvF
UGwyVHDrutjqLj14CUOVoOhDHUdSoLR94QPtPjrmrT5QllmKZfUEU6xhPxYZeN8VPHxYHM/wBCrM
7ujr06kv4HQj269Ls/TYvcKJbGTRmaBnFyDPAiZpHrBdwJkdoFO3r06vQpfTq4BlmrrA5VLLVD2S
dKLf5Fy85A23wIQR74NMKETBewUWAPGQh3pkSvC6vmov4WqOPmvpgOQMHlzrpamnLxdxVHYBr9l/
R0m5n1+wroUSkk9cAmSiY5ufjWjtwBsspwi8UztVyTyGmUIFeUUTxZNlP0OC9+Oslqhk677L2f+M
A6YFf5uUDfcVe8K+oXifldR2kA5ko9UdfP5cu1Pxbqnu1LPIxkgoPw15VUAtK0YKx/Kx22js/sUe
IGGiymlsAPvdwiZhlQEI+0Za/5ufOiQ/FSaXdw5Iq0kUM3+EkEgM4HdZgn5pCXpmdpPdDhDojbIZ
whIBiP1hUdvkLGp2PaBnMGSYlhnSRjFRz2AFLhUPGJhj3P/6UhDGB8k4y3Ap+2/V1iBQj5vrNIFL
KB5IIGy5oJW5/mel2d4xhxEocnmSRQFwyTTkTdim0CbVB9gqNzemOhRwDsXTVJ1KS6wnEAj2OsQA
++3GrcHUXOZdtZdoNUVHXpodg+CRzYwkLFPczcA1jOsa0kp32WTVd/qs93JjVScMlgR/DsxxCZJa
gx20HsjVikGf1bmX72JsxQFK/+dShbpeIll6yOj0eLm6jgABvz5WdAY66Pc11EwXm+dbUW4v4foy
eg6cNKKyrRPgknLrJqum6ZY3ZbqBpytczNxyui1UX0E6cGSxa+Fh47v8ubSGGgBSSX9MThpCXd7+
lTbVozkO7lvjMC+yuDWdp3EOtl2b9WsrhjbgmHd01bb1l2yEwEUCBqu5/S9N3thyB5AIVoYo+EeG
TCbAqRprOwXExPrSRVEGFgwBUOWjUqfGTlhQUpZr/NI86d8tEdDNs7YCTBPoTDLE6gm/Z80wkdj2
ZjPezgG1wT2k9LuXDrPAwxFZH09a1UqrRhEnQBZN60Tp9mVY91mgP7gbA7syEVIh5ogN0CerQa6u
V36XoneZ5QPo3UzG9N6VQxAR22Anj+TZidOqXQ3pPH2D+3Sf5uV3oQJMFQA8I9tbEP+94ZU/njrB
vE0wuXgpTj5oHLpzOdQQMUpm6sGIFpyWy8BV4GWYVuV00jHmCBfpELgZBj5cVkaVQgHFcfJqJCAI
FLplwxoXpQO42Wpn3SXEg4EqhGHugol6D0VbpfdNjjKBrPBiRjGGryc+zms5Zv6DDiHzK8XrO0wd
e4fkv/PIfNtYdfUoYAQGKkcyzd4RyiGwC4BxblQN3gHrfbHKOKSONI5JW46P+M8/oFR71l2J9i1v
Sq8/2IF1j0ffDIaSR2qYngYPl1n6TAoU0QC1evrUDxgpKr1kfL66JK2ls3d7/0V/aKMpTK1iiAI8
+Kb7losoSNY4smFv5vY7iMcyWUNfhO9ti3/VgKxLWAHNCFgIs28BD+JtAQk5aKnX3qkLpHfi6pAa
kMVvDKiJ/NmvI3RfnkI5awi8dg27RPFxgQTAthPQGstcHXw1ukx2+495Olhfi3rEQ2Wqrg5DlR5c
JKq/0dgRYVAK87kH7WfV2LFxN0IydDsNWXkDlpW4AQyZbyEz1JyneILVeg/JYu6PAI1WjfWtcMku
ZmMKnwaehTnA6T+Dir7lYxq8QYenjQAm47dk4mvt+V0z0u6FpK8XM2/dr5vgsW9MlAmOujV08O8J
2y4gkVH17RqPBuP2Mg0u8O3eY87rEncZUFepxPBxFSffNHzrquWyiTdQBEl/tjQ9xw9uZzns9aCt
IgzuXke4bcVu41zsLwjJS4Tu+/MaLU2TR0j8/HBKEEE9kd+UhCENLzoUJygocSVcnHUfrZ3uzhsm
GN4GPYrNECCvV4YiWIyUrBmjxcFQnIugL/BwWoYZIBF6GG52JCo8+6vpQe20G0SyBmAvRTEe+R+Y
XuNzWgMwrs49ak5fzQyKWlWaYTkKKOGF7JeRzA6TGNK2s2b2fXCm/+lcaHykkqsW9lwHK6t5ubrs
I0eTvdJOttvmgjuF5iB8R/QuNKj8V7AVW2Arfs/LjAIUSImJlpq4RBcE77opZUnkDtAl6+ELN/Kk
ehLq4HHrNckICtVYfj71NpL6hgkr1pb21RP4eOXBtHr4v6nYvoBpGO/TSA/qCX9ON1IK6lkMCCSq
ZWtmx/DT9Cf5ZsCnuhCT+cSE2d3iLdCHut9SYb4KA/gRG4PW2aQBwP0Z51FJixGWxbIPQZ2Rb8gB
FGuoRAW7BGQ7fcVMXbFx2ccVdb/+YB1mlORNFiPMC614eMrSZJVU4GtahhOfcmQLQo13JxBE2XoC
yiy66XE6RCybvYNu+nlwQiGZ3Otr1GW80t0SVcZTqa6hQfL6GmmN7W9ruCuo8xgQw0LmQecgRN3r
l/7SdelH0o1GFis5nq2IXfISwHf3e8cpXpfmnLhrDkDgMUfm8a6h+5I5w23VeqaxyuLp1gfR4hBD
EgPoUdct7mSP37LbQdmCdN5sAA84ZiuvAuUM64okGhLRbcTgxXf6QDw/2UGoAmI6gNywlV9K/E+S
3eCPHxFBV+bQ6M+BlbbLeL809Vxr7KxVkOd4yapo6Ioky0UzQ4z7AQ95HXbp1825/wXRTPtkyQDS
umM/b3PbwXIkhlsj6ubG06AMKaCuAHkNPRBABBie5D6UPqAwVqiDFEDuh05sRwweooerPi07xpXn
4xKjh/TE39G6RTp+0/rMPwRrKotmuV3xruru9O350as7Fj5usIahFDy/UgUJ1je8uwLj74TkpPMc
d7Wxans3PhXxmMskTDtbRBxWVTsfMOaTrFRF1ECxUic0IHwKqgS8JjaQyENnZXVLzCXxYcc5wJoo
j4DMCNOjxcoo5x/2R7oPeig3vsdaAIj+sUXSZ4s3khscJg4QetABplbOwUMm8lC3BuHIp9HJTgy8
jTvd5fYkjmDNAJ0fNcjIyNZYqrlrPTpn4LSCePmjcZRrqpMP790gsdZ2TJim1iJ4gft61DtyeM8A
e9nCc70FAhNhmR8f8UyOn3JXFKexSiEbocIMiOpFUz802N0x9zGv3KOr4M8N2DKHHF7FsDSyngeo
beO53vYPwDWAI2N6xwIPnYdKHQzOzXUNv4/1pY+Q7oHEsI3UEYVvdVHVQbTSrm5GYjrPk2f2T1AK
0I2BFwzmy32oWw7+Jo+d20Qt7rfnNLHYgwdlxSXS74YHPJFwZzP3CbtAno9hDZTvR2kGmMQBi3io
rus9ZA4t8jDGI+yu94z5TpbQgmM19Z+xq3jWwtr6sChua/Ht0cunI4OdIjAXi+g29uV0C4XLGdBb
+4yae/WSKUsposyluHSMB6fv4dgSZ1ApZe5ZW01BRPojolFGVNpO6v8ZoT6FOWZwQ0DOWcsWyhKF
U5rbNOuEDwQ8S07JNG6cfIrrNdgMyQoFJLkeQEk720mZnbvEz84ghHUgKOlefairAABXgkX3x4VU
vMyGLU+5e7yKy5izNaA8HwrcPfVaZu57IYrkoC+7xLlZfRgt93WJaNKChuVoQJs+TVFU119xbCGt
qC/QOM3HV1zaxqEWqXF3uRxwC3QNKTEUBfUEw+23tfpSBBLyq3jw+Naohy8e2Dq3mk+gWibnV60c
zt2QKIV2ie1My1jHBvpc291/m/d7rE/qGqRrYw9kNX5z/fgtCwbsAVSLoMC081lJI92cnPqlhLbl
qZXriiFRJ5WcxwBd2VUGH8PtoKQ7pCNxHwXGE3DYqGW2yfwthyb9sVeDWVx8XHAZHe11Gti4UGOO
UUXcAn6yeI7krjyLxJzO/W85dvgTYOHcpEcttK77OS3oCn4CCZgn/8TOQzHdGO541mGX/t/TYajs
grvSjBt/GvPQRvn9HZK0H2eXvk9nzZzEX2Y5/xPXYiVXgrQ7N/ZphKTcS0GMbeEZ00NdYM9cA+UD
SaYX9eo/N4n5KFQMZDXpTWG4fui6WXUqgOtZ28B7PtRkOlpBYb9CisrbyyTGjhRA1FcDvI+VxZpg
r5toHd1sEg9lO9wRm7iwSkkbBoOuBvJG+Jez53joAS1IfAYlDfz3hy0UOnfSq19UigryHmZ/gmwx
eRnNAG5VbvLg2o3xnImt7s2S1jm3nXGnW93/UXZey20jURp+IlQhh1vmIEqUqGD5BuUwg5wznn6/
bnpMWzM7s3uD4ukASiQBdJ/zh3SAKWKk2kKGIDHVXckNeSXDNsi0NR8+MCRxwtwqqXBEpXpwrNrd
KTabTLNSdPxWDBhEWZMYy7EvKfA16jzeVQJSLMMaNbj7UPf+iBJv3HHPK4GdTPOh97D/GupmeDCm
cHiIgybYlmrgLDrRduuY+ArXo6qZy1ubfJVWQ4OCSeCuPnS46oCIsdumG9lx64VkzU3TIZkg31J2
yHejcvfVS7pqL9tRhZ9P6NjOa2t696HL8tt28jv5qpGCz/Jl0NETehRWUM/ABF6Dib2SjbJbHvC4
olu+7KFWLIO8V1aGWiQnfYDI61bWTkbBMCWnvBb3bhkbo+MdA9S7ItEhe1MLwZZ/z3rqf4PogTZn
t+uq8DAsTzM/MrId10OrpJyik1oX4+KKooIBsGKBl29umKm2cHd2pQ73EjI1zYNxbFUDxi64rH+d
BJTI3rQUxxGiDbIVKg79OhAVGHkgV0LlK/x2a7k2/xzq9zNiInKYF35zmhK3pmylT3r4ELRO8Fy6
FvIXY1FsPbxwn6lVqcBvJ8ADonc2Pf8C6EN0yYZIIiCVxjzI4arbpNzT4ILJ3joC4luBqJSRnKV0
8an35hQUh6FBe4qDl5mk5cIacv9Qa33w0sQJZgjpAH9HhHkOB9A1Bx26BIM14Nw7I5+spQzxCHaO
kVhLysFlo1cPc47uuBzbgB/JBjKpih3AvEt5ilFDfZJvM2vZi6X4w70c2mtcszz2k6M8jx3ai6ZT
YPk1s7/TBTyDR2qwmn4PZS84MqQKRK9SO78Ortv61/Cf5lZAhPukL3a1pA4nvXoJhso6Sv4mCTEI
wzRZ6OIcb0TSUtWvTR7qhXmZYAGoY6NwFQcaAn0ZuWJ1nuA0OIsDgOtsr43un1IH6NbOXq1f6oWf
XdWDrif5Of82OATnvR5ntbtCZS3oMXfJEH++YWvRUjwoTV08SGgtiO0A+SBMOa7AWzEeuMRnGVV1
rD0iu7ioRdbO7lWcg02Rc4PbO578XlOXKZDT1Syzb3JQ3mrepmfvA14zzB6srhQ/nGL63CCPwsfX
TcjR1tlDm0baIheC0i1J0WuHnBHZfLm3GZGP8CHmPzY5uFDd6l7At9vv8f/0no1Q1V/a/Jfgrx45
rFJ2cthfc2AfP4Ex8DZsBVbzZA3GmxZPxaFKSADJPT4bgmKnG42F6PWsfpKPf7kygGu5UWzVf5BR
njnzWh5kKDvECLkEkIuEXGGLVTfAo2UoX9kz/9iPZcFfp5PvUIf9j9PJwRE/9AfX575hcSUjRcNV
GWruvmvtFPD07D47cTWjgj9+kZHRZ8mZms68mEsHPzhlip57pVdZYAkAjwjNBGvHkMVFXnbgBJM5
OqWA5B8QUoielUAvV1OWDdu+UqLnuVbjQ5wgHienGvic303TuMKsqzgGIZChqhzCtaHEpQwnH7LW
Qsnz7D+oTZqsev9W/3BsB7IZKoiahv3Gx6KUUcalRvaCh3SglAdDZ+vilsp3D9KwMqA0upiVw9iB
O1y0nbWwahMPjNmojhkb4m/cHr6YaBF9Nk1+X9S2rNdGjck0wCq7TL0yr3JwVo9I5wab0m26+3j0
523W2jEPb6iEQTUHB80z+2MT+/GuH1WT3WfebXC1L84AYIO1UYftUs96kAUsN5dOPfZvLu4R4GLQ
KLHS4ITO0RQsiu5JbctI+u2sKy+L/jDs4c00xJJL8xEFiJzmhZI3BrT+VDxObY+teFVinVYo2i4c
NTgEzTAfu3nUtmYQK/f48bYoGbHqTlsDX07L0o/x1HgLza/1V3N0op1jtAprK8JRhXqLgrO1lWFe
UNHqSZodZeh5xiseSPqDjFD2X8RFaz7bdZ9c6jDeyObAgNY2o15yfYOh0A7wG83qq2WZlo9Gjp5b
qDqVLMi6BHNGAYrrvBj9X3uujhKE1vwMB1iaZ5KMF9/PHrsxG9/ScajWQze34FojF9pmEK1BZCaf
KA7ca4I8QoLrEdjD8OazK1j3eAHd9bHl3NkR7kKGgH8O9bDV0Tw/T4manQ0jp9agTXe9gSDLYkyV
7Kx4GSKHZTJsZSgH/xwXG1W3VdEcWKRTPK6VnHqebrXGiwzNZnQ2mrj33HoB3xovrlr3VBojuKbi
uROa2C0GeGTKqGOZeoswNF2VFilNN1FNUJzJAkI2+0mTpx0bYPe+cYf8bmwMezWOWf5F1f7PI+LS
7ZcTzOd/OkeMTNF/ISXU35mggttgWxAPXc0yAFMa5gcTzKSvhBTMUOISPCxmz1xi50i6S4n16GEk
rHMTtIAghHj/S5OPzLYeZ0PI8p5J4hyTGC9nwh2JH8QIGWGxsathOhz5aouD4nfJRqf6+CnuWZZx
TX5DAGxGFTyAWTrWjCgaagp1/skO1UecLppH/EH6S4RHptSh8EpdPZSIbmH1URpvHTrOK9KlyV6G
caz/MkkL4h0Kg8qimSjtx75AB/1+QMtHIIhEYzPO2c5qh9M/jbu1VWpOCaw17c8kRAZ0o8LiPsbI
boeC0ycZofdc3MtXmlMX96HohHX4aRaRbLoNkzNnOq/tvvE4UrDA6+Ve/r7cuROYDAVhxzRG4as0
xlUVl8HXObkOaIDeLEO7qu9DBxDnvw2w8ZLcz8KFHpiemv2HPtLf6t2OoemuYWkWyBzTNKwP8Juc
tYSQlgyPU2SQ21kMUX/IukR7bU1n4cZq9+wkiAL5sb4KS0N9HabJu9er/KsfV+prW48eifO8WMo5
XgYjwXWSei3HTlXmr3gHPA7kGa1YIbc2j0c5V9wEVd9XH36+nYp6uzG2890NMBUV47zyFCxObm2p
p9sPnrqULTcMVaoi9HAbKjvk0GZYyqwjgk4FdTMIElw+JQI7uVlVq75Um6uhMgYY720Piyce+P9J
EkmHLkUoswQ9+6JBeDIDK9J2sxbYK9mb/n6K0tGup+hgR4tToIhevkWm+uMUco7aOOr1FIHI1N/+
isSt/5xVP9jLIpsst7HfPuuuTYFKFu1u5bzQ01PoWWa2kPW/W4ceJv+xKHA/YiIcmGkuyCxMuWwE
fT7i4238Fuy5nJsDax8wiWI534mHT4HW0lHedZvfQ7ARP3qtXDV+GdzU5ldP1Vwwima+blU13QS+
h4yx4gPaNJO3RNDRRoRbLxb7IMdqnXvZpMb+j/GyE+P48hS30ZuMfo7PIdrdX09YYS9TuNOy8Au7
05a16Uc7CaHUU4XC4Wh8bgU1oxYH2W6gQi3bZTRYaXnv9dESJ6J84wx6cqlmCL1JrIPbpXoAQMb/
M5uqzaAW/Ve/t/SFmSXORVcSd51g0XJnd456IFnYbTNtjMTtUF+iSRS/G9n0lFeF/2eTfg6LOPtj
5Ca8sAxE5FK4HOitezM1jybYh7ajnPPa/NSWivNJrRA7QF3L2Rb96HxKQUcr+Zg8B7Gt/MdXbnwE
R7poNXA/MS3gSd7fsUnJOJjanJMtcXuXJcmknPBjiJdp2KrrCT2Ok2y7HfwOwqpqRt9vTfKVwvZz
pQPiwxNzeh3G2fqj93yUwUhCL7yyWbWx7X+fau2zH7Thuz7C0QNLY17myE3WTYehaK241rbHCOIY
tmV8nEIjYyNK+b74j3shS9wP4B+oH4bq8APEBR2W2UdIaGIZPcvzoj6a+BTdARt0dh0Ii30bFMH9
6FqCn6q1z4rHriLR9fir2mq7CpNpIbSOOKE3K9/yDAir3lDb1vHpXaldUz3kdlnvpsl1kRlzqhP4
bpNMezdfRu6YGEfoLJvRcbqeKeygzw5F8MeMgNbCbi33dQqscoW8W3hW9cHZ6j1WXSwMdXDYUbax
m8568oWXuA8447PraA9WZrVorivn3vXDP700+xqGqoV0GYAYeQp0Zev6gStReKyMmGfBvFlWYgHR
iIOi44z9v7bJIXKwHFdGGeAPAVWEcuYuqzoE0jIO9RP1cmuu9Ucf9U10TIpxjwj0uJB94Ti59+nI
ioyvsnwN2XUD15n6L3yaD1VPDXKheS++Fjn8TiZSug3qTFNhfcEFInyHUB4tXXIW93ON3gW6Rp9v
9EmMWkmG68lnSaaU7Mnfm/KEOmjh28U2CHGbqVR+i7+/io0EqP1YVABRNV790ruGuUxdRq+H5kkS
qUWUp+4vkeyTtOq8mNemGClp1T/nNUK8UfTJebKvJPq/zft5lp/z5FmA1Xl7rzNQtkM18uhoyngs
czVdzF2pX9sCiBnH20GOu4XylWzD3QywvIUa8qAUyMmK8xUpwlLm1Ovr67ip+u6qzrRXnTF/cgBB
b6MwbJYy7Gcvf0o0EGChO7c72daKNi6Bhadn5Vk2oZBQHiOz+SajLohBpanImyAs0xyNYEbBwlNJ
e3DQpVyDfNmQ7tp27FmgGAulh3RWT5hfoOYg404LgU5NTbT6Zc7tREECUtt18GsygUDv2eYhqAEu
5WQDuD3ifmodrDq8YtOLPgmmfduV6gbBKm2ZeIaz8J223E9GEV6SALuzLi8vIebil9Rwg8tthGzL
xAjALRc5Xh647/zjOWKnuEf34aWzouirYTQrJx7NT37gWJsBi45dWWvJS+nnj3JAGNvOYkRI6iGP
HfduVpDxm4UuY6W1KyDT5qcs0nF56zTEBcVf5wedv4HiUbCKJNTMILpk1AHcOgMOJZq4K/4YITtl
2+8j5DlQxitWAKHq+1q1L+AXYHpqESIacVufY2o7S3M03K8l0oYhVbvvLm7oCzCj5QUe/o+x5RRa
dyNemFFaj8sJhcvPZtrulCJQ/ihNE9SCX723XhuuxtzC/Ryc5J6MVLXTvdI8J2LSICa1AK0tPWuf
bMA3fDFJ8lwoGTbBtvWpt1N/m1hjuKmR2fgUKvPnaVacsxHZ5aOrmG+yGZi2Qn3dIFWaqQ9eOiwR
bnce9VixH9vCcg5lYX2vBwo9EClrsGOKtvBdbAZD0NDvydnFwPZdz8x5r2kgZdI0QUq0xpY3LY2z
UvYNjPkezQcxDNVTa2VUjbsH5R4xOZ+T/u3fk+ua+ZG/5UKQtrg2PcfSoUl/VAvyLfxJCl2Lj63X
G9AMtWGKP8UIlqmSnEsKZY3IpvvNxgdtUZuN/qq2kM8CLRnPhheC8DbM5ujPiMdSoiu3NaCtc2um
O64zUj4I7LyYHcmqRkPPC8Bj8+L0M5I3eYzXrggrB1hIbQ0xBgRB+9Kq3XjPuvtNTnXzNkePNjjJ
mYppKY9YcoHmZ2Knhu4lH763ZBZWTRhiBDAaBahHDt0clMc+GpB+uMWIooGxvcWK1eIikgw15Mqw
RyVUMDClmFxr69kWVJqykG23g57UBwODR/IajJWHX8ZaeBVUqfIeZIqHlWME3DRr9XCDDrW/IIOm
TiwrJ2U18t8PC3dUjWPF/ZbUYnDKHDM4xcLSSL66HWa0hY4KRKdbk5zwYawcZgXJYmWNqaos/Fpz
z5NmwGzSijuXtYOCxUblLIDGufB4RWyT7l5z35h+zHH8TtlVSoL2d8ffuQiKUjuhSrORJ7vOYXO4
xHRnuvfUwDvLjqrKMRuPcoMC4ZPZgm1TZaZ8QMOktYenxEnJpcu2HGTnysqGGEWPn43dMEBPQe50
krl1IcgPjOw699YUivbKN2vSwI7+H9YgckfyaxbTZR3HAhafDJ105t/EAgbQ2YHRTrhjSv2+CjkV
mK7oiS3xTQi9PHrqBGkJrb1wk+X4zoXevLoScK6Kf/9+XZofd1Cg/DVUUFV09B0VQPAHWmUcodOP
RAQsekdN7ybS7fxUOchXtzArKmoVU4nIhOjlTtNtPBePbCWfjDNC+up97TSgGIluB9fuHrMonI63
phj6xLKOSSVGmYHWyqDY5S4H/7qIes84J5VHMjHtM+yx2lHfeQmkgRLSwEYCey1RaZCvbmBf01T/
GiLgwrL3l4NoG0Lj6d8/N/HhfFiSew5sfRtND821WI5+/OSaxh/BvLbVIbdZ/2IGkFlr31bBMwsJ
RHYnwUKG0mHFqJVgYaD1e2oFTCFXSZ4m8BJWNWyvhdOG4amIW5LGRnZ08zo8ySZYy+L6FbGdKU9q
MrqPYel720nv83UtHP10JNFXyaiEexkqjposEnOCkSR600Jblp5bP2NOMj8hJLeTSq61qYKzLLgz
ytCNvqnBaO7MED/guAGsZ8el+lBQIpiwJHzG8rN/5iJbRmGnPMoBQV82i6mo+qPshJKSr2NsDPAs
YfqsJQivwQgXgp8LwPLFGxhxf1OTaN5IAJ/j2/myi7mZy172DgfEoOunIMnNi5k7a4nr43bWkYIi
IdLGsXEMAesv4U4q5jdsFr7H2HuyX7Oa9STJYfVbnNb2k8S6GhBa171voGnZGSu7TUOBaXkNbEOn
LpeH57AYWExNRvBe5OAaJ6qse4rk4bsCFU3vs/it6SPtWNa6tpTTyRyEyyKrIxZkXfoCHmKD3L3Y
GKJU2A8+l+tAccQcsCaZlczf4WGfLpSZ8u5VKkNrknd3KrPDFXc2dxjbxbaL7KzilVuAkhMJbvNR
OBM9qZh2nZV2/CybzWnsN2aUglEWnJc+sx+NKIhYtDIq7MbPg5jsZGa/kefqwmnrI7vCHksggZsU
W9Wgw5cm5KC3K9PkxySDforSlTn0yFeLPgUTuxOQi5dEtb0Sa2jlyzAY7Z3vhP2l09S1ZUfaGkVQ
dseCYliVSC7aMWbFbsfV77vKqkew7DER7ETVK+T+Z957Qw50tSn77TSoeNm7071iKbkvLO7MQ2EP
r9jRj2d5UMxkOheJvcsym9qjHJahBb8a2xA7tXEmx2BEFkr8NYreDvtdYUCar0YhDDPU0R+Fh/Mr
Bp/KvQcOc2EiEfFuqjH7JRP2UGuk7cWNmnModGgiX0MooPa7Pc50/aepfJGnieLC2yqGMB4RZw0M
Pn1c4V9aCpvHxMGdAYPTiSyfnS5IHngameDK2wxe/u0aBm0ZLrMIGnOxaINW22tdCDo8xewkRJPw
2eh6bxf5/rxERV97dpuQjUThvcvIHL32EpYvSsxI2cJld5fbiv4gJ1tmai3SvMKvQUw2M6vGjKPH
qznX1yr2N0+lgO0h73+qa4UtiGhS7WC8w/XpmXSYmi7rRAvWcoJnVxicOuZrMFn9gqwB7xLk0UOp
z6g2pSiOyw7U1I2HCerJg9oYv3boYoaiZH+bceuoxakSJGE+N3G51r067PYFWj5h4riboIyL+6JQ
//YKJckfbaOd9nzYwnx4AgK0ZAlPjt9vXkHBZWu70qHmJ3VwJGcPyJm0Jl9worFTKsPvjvIHxCIM
wKgL9H3yY45RQAZDmypgEVebG9SrmYMJN4JQ5m1O0ibf+qnxD4NPerh1ETSC4eXsFRdBbX4/3aIR
uqStG0Les8e32wizDOxHNfI/jqituV+D1fqzHqtAeGDiBmaZTrvpGpIijjZdqB5rDwkAzFNn18pi
6iz1HVNj7jxdOZwmdkUXAwlZpc+199zPp7U9oicZDoTeSs3L8R0bS8R0NKAlcjKbr0evMlCWVcbz
oLfKJm2MDuyrZ18Cja+8cizju52e5MeUNhRNWStYL5kX9mt/GNnDhYjQIse0msZph1Rqyv6OLGgv
Dk2frVuzss6yyeuqYgUkpNnKTCcF0ek4OfAyrQEPbc+J1yaV7MWVC1MYu9GGkHD1ONFIdzjkJndX
2owP5xO6287yUKYBNIZKAdjeu3TKkrtr3AWjQI50VkKRLAVdawzppm3nhr8H5/pXcP8IAIqSneI/
ab4/POsCH5Ab+NRNP4KovvhD7d/hWIJpQtkMRvUVU5V0fo3wfH7NM7CkVmeEJymnXxfImQTma59b
473dY94im9HozxBkSLLNgHMDf3UYLluDW5xdTtN9lms6LhxxvJIhDtw/OmTYmtN5SDxvr6YRamCy
LXQz/1AH0eHaVgO53lvwVXaab4FzEXvpKNSfW2oFz50yZFQIvG6jtjGIXxuxGjGgyTUMHZFOvitA
bp57+CXjGPM0VqruMmRDtwYzzUa5Q4dV051IKA0NdwAh1Y1dtMVj1SjKcip9+7VKIUZOBZVJbBe2
Sdzk+BZQinTNLP4zSJVXPKWbdxxg02WWon5cTaOPbCiLhigpsarIFdROxfJBRTB5OyiJtZK9aBfl
dyiHJQvZmyiV94SDyEJ29mJ+6BjnPqDCgV7BsITBEe46blunJLWOaV8nT5MwpTMVSBZVA7NNhtcO
V8+uE2SbPOgz2g3UgO5lNKZNsXC1IVpQt6wWPRJ+JPOD6jnVTDjxkB38ctZ3Tl5Ua0lqMLX2j8LC
9MzyL25ue2uMz7Q7ElH+gY1Dsk1qzXqk9l8vzQLzsDjv7jxjwMgZzGZXZ+G3AcDYQjED86BF9jdL
2Ko6XwuWuBf52guGdAn8LNs7oquPRtSt2wKNJxGWg9ot1U4ZYTmz/h0cvV+WJfvQ2yJYLnjNuht2
EaZiiwDxaBYyUJZy5I6vryLaBuAPSOzFQDzkq9u433sj1G4XJkYtWwcz7F2bKg+p6YGw/3lIppwl
qwC/I5Nq7GvH2gXZ7KyjugZPMNbglxMj+y3u/QanR4P39pyNOXsnF9rDyRvYdUMdCk52gvHaKoIN
va9t55QE3jfNj+u30ZqfDeSELwWf9zFh4ba6ktf5lagDt/u51ajDZlqIj0gf7weE+JbIOgYeP4Mi
/Gx2kDdexkr/MuNH3l4wAs3YknYYDQlhAiOY2t1cusYitGKq1p2BWmk0IU8hE7TXVO2tTQoXyDly
jDyFG5XTPjA7c1PFNrAwgXDyKqrQhgWozXCtcGenZMJqPzOPWbvKxH2sFHe0TtzAPoSy49ZWjkAq
cg0rvEkJDs40KC8ewCTJx7caP1tj3xwcBlRVb+3+ZP7ajgHATn5kt/GeBS234daM3tFVBizwIXG6
FaY4oklKfEmxL9E+UoDdyyYdYv5GFTklVCxikg9tcK5zPXnULP1LH0/VO/KGKV4lQb1PZNap2Qyp
On9iTZwdXEWd8UhkFJtkzJ5BoNb1pWIJo5Wku7Xk3KXxFzJhiIrVbC5UCbIYW2OBQ2Z/lNgt2StD
vhTj5RbK3lQMnsRcQ9zvZTjgxbz0+T6WcmEaNw3CaElINUysU2fqLUe5MJUh/jDRM+LaUmwDEbNU
mGR5xzQgGVcXkHGjClIiKmvWcRYHGcpDmVflop28eZ0CN6gXtx45UE5JAx65cVbgwrwwSrVmz6XC
S7XQvjwpnrJw0ENe2RlLRolNgG1wMqM4hpIRGE+2TTFcYBT6qIkPQgZzJUfB5K1WZVydR2nJcV0q
Jao74XE/56eSNPkaHL3+jIRpu1CV3vvWhenS5mn2JwZYD9gpju9tp8zLsbHiR8ruwlBC6Q7TWHyZ
9dIiUW6aS2l04OEuok7R1yqahhXVCuvOGaPy/jagKe+ieIi/YgH52wA9eRpnm7uK5+UQLov8OUz6
B/mrVA3ce/6hHeMOAK1KVhwBOGZyvPzVa0rTrUKXJ03hu3OjA292o7tBGY5kn8OTLPjISpBoMtKC
VJfEo/wM8aUAnmk13v1VFaXLuvw0+hlbGGqpX6ecRZDAGUGSadHF7YpLpyjDFlZTt/fKIN9NQWbD
5LJqW2EBpJnWoXTzX5/sejps8kbVj/KZfnv2J2yAkEosXmWTERh/PfahdehLHuXpWp4pd9KKG7A5
LeT9x517lnfNVKxvlaMPbfJGZP8cJ0M5+GMbS0w4znBvCuQ/93OlfGEh2jxc+ZGI+xcUEdx/bBtY
UVzJWpJgGVeFuvWNS5/zy+ldL/7aslBF7dX+bk0jdO1x9i6B3SZbMxGgfls3H3ywOUvLLfdWbxnn
DBzPKp+qFhMdl6eonUD3RXftAIRHYUs6JQ9KOgTrApziM4R0BxXMqf3cFvpjHYkltGb9WJPkTXDs
zD7+2k38Z2E4OC84yb+OvolQxJh2WwnXClsjXDe1327lylCGsleuDW+hBHM1sfdj8P9r7u3M8o1u
c8Pf/wz5vnyE7v114dmQNATE2MAcF7RpoBXtjBfSmJ+AMX9AUlwhFyOZnSU65ONKojI8sC/HyWx3
TaNYpGBImVVd+Thbk/UMezsGh+iNd53ojGfo5307qzsZIiHJTXosx7Uc7PWBiV9miRaNmKsNmXdK
W+7gImrj3H1K/XEhZ8q3SmC7D3BF0glWL3Vh59kT2/nAYicvX7mp/aXszfTg9CW7fkutlXVSKd7S
l9t7GyeIU6bgx9zjmw1uyVpmVgMOXdBMM8ewIZDkxUmxm+h14K/qQT9/IiVn79PEXl0/PR72j5iS
2+BRA26GhuPYh9DnHRJ9ji950QbLwXWiNba6ZU8ik5GpdzJtKH5lMG4rbUjOhl83KxUBsVeqdIVg
XVbfUB7cDIBQADV20cpBhvl74Y3o/+CK/hZXSrCy8Is7j04fbkXR4jhoRnSU53R7pVg2iufc5X4C
38cm6zS6nb7XKjI5VNrnC3L8FXRRLhjNwMRSL9Bz9WZ/abXIxUIbvTcrD/SgXuIs4JD7SquRep44
aCZ22QKZjCtJ9eIl9r7ug/xRMqIGFcEc0L6PkvU0aOa1DzHHahO14AtRTQrWqW1lxzkw9UfbNvKF
LNLVnvsdLK3/ZDRBeXCcgWqy25ZfFG3TiPKf2gAWheH9iDmldr2kYDeyDhWh/OHLcJpUQvH4vYXy
kkKNx12pIabyRewtpCJUL5ZgVWQ/+jh+3MlItvNsAg06hXcy+tmkgXKFgMIcOVSMkhNJGZYPtRa9
dApg86snk94U8ZY92W9xxF0Ch0uqZ0q8zZuJ/BsmbdcXP1t+faEUqhezZIaSZs4sdkd1GeggwRQ1
uJd/g/xrZBN54PtAriF9XKqA2UTIFU0//lR0ZUh4uYFH3Q9FjLlCq45MprPy+wi/8gCR1HnQcFHV
03lFSsYarpNNIb7cxPV6Dvrh+o7ypKKphh91HfWzSU68fUBhVK1lUyi+pkpR0XuuxiXbLeONR4S3
EtnBnQwRTHghi2ef/aSNIJOkG9mM9HF0XKWYRjzgYi3+2uRpBhj3NHFv3QEGcheyTR5SRMaWHeJC
m1sbovPnKMwdhK+ZhatT8aCNpEG4DJD/DnVlOVJI2GbiZ+1NFgA6JRBpMkwGZM6nK9JH2D784Oey
2V2t2KBpP3bO+KPtRrkw4prk1FW0qGGpYyjmRplJ0FLiqN/b+CzTUDXWedfmbEzrd7hHslmOJpl3
tTdTodZEmva9EZybrsSbV62boxIo2RfEADxSZdOI3EfDd8cu/FR6XnjwiijbmZE9P1SO2q9MlMpe
GwGh6rFDvNfV5E+wweb9hEAMCTHf2cqwzzBbXQSKou71wb2YwolcdsgDfnu4eifqs1t486NXJ0vU
VPGMNdEuhBlReYfrDlIbvG1vWe51y4gEUrC6ZkLYz2BEA3RGSxwP4hJQShnKg53OP9ok3FZidMO8
/tEmQ3Le6K0mXbirVdMCn0jRvxL+P/Lgq/EKoRr14RopCDg0ofkoI0dYArUDKdpxQEHq1mbkcJkr
LgNsTIdNFON2LA9QqX686iGABZF1ikyQOxA2GaED4N66HrZpt7GpF9HdlxQCcnEqy4zHZTqkYiUr
pDXyPB3vYkwypALH1BiDt8qa8ktsVsFe6mk0Rcm4LMxxW4xA5snGBC/eTW9V2s5zonhnlixatFmt
L25f1JcxgpdWwu9O2S5djIgtmE+ybi07K8eHZatini065SQAyNHSaoxoL0cgIGSgyydWLz9Pmbn+
qz6i6G6LN1DEm/L13BVVDj9Fj9SFA3FtVYVt7SwrUuRHpwm69s5QwvToYonuUU2lVR5ko5xkFCVA
cMfPk2QHkkTdp2iXZiDy02hTR1m7jvB6fZhNao+J5f9RZtabZaogSS2sjJQyDu7bQEUVo3fIcLlK
/+RmIUDDlnyGPZTLrin9P8zJecOZqXirKqDqclJu7mySo5OBL0kz4I8Zj9Qi5EHtuO4KFfUoWmSf
ya5ynaVog7gkDX4Zqo0lzO1au7+dIkwDbx06AyYtYqwfWICktQwDX8DMl6JHnEkgQMd0/CX62Sfh
oJNufmcZxKq+4/Jpkl5/hleD+6E3xafRAAk+KwWyHaYyPFpF1C21rM4/Z5p+V6iB9qcKSgGSgPVV
xQ9lAQcGoFyUppu5igukkfvuGHSDscGmdnoaaxc0u6kPXxqr3PmOPb+gjv7m9LjNFjVrL3LP1sUs
4viAghwyMCKUhzZ5dD1Ff5LBbXxQKuZFF+MjjeyE7J0N79LoanYCTb2em8R/MIXKi1UAmNBSjLdk
NUwKuVTUb4aq9x9kk58CMmtijBC1Segu/kNvJXoxD+I2Lc7ezD2V/KL5kpK23dQJoNCsnj552ax/
R/f9UJLNfi8AtgA4aLOFATl7Vzs9Ojh5/YL9oHEOlCp5rgN/XYrmxrXjo+L3w9KuI+PNDW1/Ra7P
4nEA74ZaU8VSBQjyG8QCsgpaPXCnzd3dMDnlu5V+KsrBeauVXDtwMYHiFM3VgHEUllEolxae+QgG
+s228IYM5zfPTOZPhQ0hAe3rp84HVgFF6HsVGvwPeBtvlADGT1+EzSLNjHYz45Oqh/aTvLtS7IXv
a9b6ToaZE4SI587mYjBC61IUtnVhfD5sqGlXp0RnDXto+jRbJU0TL3RcRmEV80+qJWwFBSDYVn4E
JQnRRdXl6r1lDeprNN/LZqqYPlx4JqFPv3F4gA7Txpvv2FGfK72HwYJISn42zQpoGdugXYpGA7YR
LiQsMUZwIv6HsfNakhtX1vUTMYLe3JZ3bdWSWnPDkJmh955Pvz9maUQtnbVP7BsGASTYLXUVAWT+
Zou4t3UX84yU2EZBXh2OKySd/wz32oU/Ae2BPmLAJoWZ2q75RICzQN0h+jbHCnYeAbaGJd5sl8yk
jCUZ5mCj+HnwDWf7eo8Wpn4hlVm/ysRAp97o5Hl0bmq3fn0lo081ailCAaQxTlDFQNlKFcqsBm/T
sq862dZsvVjhwVo2O6VZkkzz+4d7Pm5pFuY0PMhpdrY7c1fO84TvUVY8grIqkEzhwmE52UZGZOzX
vgqI9G+jllOQ+FmC1wEJlrnOMioDcqHA8DNuHV2frNrh2ehJokTF8O7qHd8gPx7mTWACo4rrOPrQ
+NVwS0pza9Zat1Eys74D0rPZNDcI/1CdWDhCTu2iHbOMyrtLmuuoBP8f5iIFBb5sraKGvNy7FMSa
KyeuEBbtdgAmfZDyqsR1rquch3b8Li0U/JNraTYvcb4o+pd5hnLg7I7bYgzYk7pqSO4My4ka8d7H
vKDsk3YK7gRN5vzLdhHiy9hR4nMLKv/KaPnjeSycGtpO0ZOlGePkkyCZmmxuj5kFZlGaXlfw6S1b
96qhdXZHPDV6Fm8BFEwnXavRgGzLL6Weo1OO1v7GdrXyVYrKyJ0aG7A6mOUsqTy0We2DN7DVlVG+
NueooZQislOOoXe7HAnzrehOSZ+/CE7JxV3uItuMT41jvExT5ZO68dD2K+2nzs88DmxQetb+qter
/iCdvjoWh8TXkvnTqBdPXV75yAIilmsEvB9LX7vpHAU+uPWEdwt2KBuUMKd3ZMjQson86EHYIvga
ZUdnAUsJI2RlkJRNdVm+nzfsWfOT6fbR5o8EseSQpa9w3XeqW/FxzS2vsWNrASkkebkD290/DaHz
M+Htsx1/qvlr3L9vDlsk62DHnUNOAKFZq8Q9oS7Vj1NSdi9trZYvzdB+ku6ShPYOLsQpxjvP/qi2
RvahcYP+2SvSgy2ad3GIjmIxOfZSa2W94614rO2o3Wkdp0QEyxzLOb9nkNU/1kXMHof3cZR5eKjG
mYGuJM0241U44rH2oFH2QGUNbZmkqKKHEtvqUhsxvFLLLHjydEd5LP3powuc57x2IcoTPPmO0+/4
og47CZNRGTCGmY23Nnw0geyANFmCJWSAYS8/RmJBbgRkSrlwaLA2nZ1aGO7QvE9rlnaxjPzW+euX
lIfmfPQ6AGp2UrrXEv/265y2zvVFbtdOaf63vj9CTMvW+VKiNLEOuL8evfb98Tx26OOJU/0t6h0M
XF1ESe7ppHvGKVXN7OpU3l5ySve++7jEh5Fh3ofuncLukTnU6/c/iUFL5mrNWK0/h1T3dEBMUt00
/aixixmCI4QD+5VXJKycsu6+g1Yjs8S+0oYOq1Yz/h0+OlptkRsPUaNlYCfZF9ZVGXyGGnZStNkC
9lembxne8QJ5mnHefDB5BW2kWU+Gd4ozctHSHKs22Ve9x2FmwUflfTaR6IntW1KHziXobYyAEeq4
ysVVEbcMnCxB6JWBwQ6gtErn/fYelKak/eXWGafqip3fz+n3YbfTDvpYBDsWX5P/ln8PTk7bJTuI
QvNBjkky0OnNa4P72E26wiQwgf7a23VSO7ABkgfNZvgSAUW5yaoYxCQxUPDItoq51LDWdif1KmmX
aUFBDOH1Rw4vO0kQh3WHQ/3Sv+aLJRYlpGwrj/7j+VITc+uYHDjl+iOZWY3TAxbHoQJxCFs/SzvP
ivfPWFfT872vcZB1CZUUpVYwCHKZrPkRk+BlqSwxA0zlalljsk0yr90PnWU83Dt5uRkP0tazdhuS
gr5K6z7xHqi34anXXAw8iQ0iQCFG1gfbNic98tDMuF/WgWvtM9uJQsyL7dG2dqaKOt5/AgsETJCz
gl8GtUbK4BfWQLAHua4Up8LS/gHmPOFQUvrHmpf2J3w4L0HnhN9USMPbUK+GR9Ufg0dj6setl1TR
N+riJwzw8s9FVsTkbLxnW/ND9kCIFiAp7j0bSkSFZfDepGvqT23hJW/S4yTZIwCB6UmGAIN3Gyw5
1KsMYska7bIERx0ZbSy7PiC6O+9lVGuQbq/Q5NnKaMUL6qaZkFbuDzbOQCZK33mZx1HZj3bW3GC5
IKgfmM9lX45XCMRw7ReF1NFNMduQdl/xuHopXLIcHhMlAbaSleCPpe2qnGqtwigNpOnI3Rmwzjc1
qf3z5HbWpxydzI3ChxwgC8247055oI6vCn+Yj/yx2MHSXUfx9OSMxTvJQutT4jXepYtBo8lgGGbp
saxaay/NqOvKXRCpydkNkTVJ4pjjopocEpTM94JJaXHHfETbEXwLeJVgofT54fSpbrtFDrrqrmbU
4F30rw+U3MmFU+IWIGV9dX75w9nhL9O4KguT/Qzymn32v3Oz3irPhjpee5DhVG+ibvp527vJRKFw
bE/AyM7SamEqF+d7DLvU6z2NbczdeAiwU8fAPImPbdlzgG8CaNFrG3SE8eh7xlZZKudSPpdLZqTx
xYjG41pWl/4utfxt2Qf+bibh8NSCaTYHzl54F3fBJTDR3U063X+Ri6v7xr5oSnMX/eoLU1LwfVOr
JwmRgbYKL3E/U6VfwuK4sE9d1v6NfsI+6Ez1VS5KwMm6xfsUEIU7Z9tJ8XEuRuVGRv3K8s6OlvSb
dUabAi7DARBdvSrRXocJEu5QdPs40ONrFGsfZU+2Uq5/Y1tLJ++lm5PFzemPOKuz3D14j2qjFh7p
G90dq12tpNjP/1L4A4DHSKc773egdYHx1rkyPffJWdSV6yjknD+bw9ZamtIno64b/gNFEJu8X/0k
7uD/xN5WAlhsKW+o4yOqGhrn1Lx8zJUmvQy12nIEb5NXO0ECcCy7+Zs6hbh+j/7fXjZ99LTcehr6
ydjKwU02hjrQsl1s9vjkLcpB68A5xIf+eaq8mwbghASVZ53MdjAfcQDxdpOb9x9TCs6bEQ2R7xqa
HQB3cf1Ey+dIlb351in6vGF/NL4pXVSDioRYaMZWg3FOOKPnw7YrRkVH0gFWyf8m2gz3VAKOjsjP
IiGyBcEzUiEAZT6cdb9U84urGt3W1dh6degC5hfsFFhrByro6vgujZAV6jY0kbOpMlI5KCnpLSBz
nNDysm85XOR+t83aGEDS0jlWMCx36npbD4VzlYt0wrM4+VWknKTr/jS5vU+83wYkxPRofrARPao3
vz3MyrDK6saw3ulLFhYxkX4bsJLtJRUrfXIXZVhY6eO4bSV3e0/Z1ul3PdbRLbS6Ye+MzfTF7QLU
2sL8O+tDsC1TN12U2pLrf4kYnTTY6smYPi+ky6uvz/ZWr9r8cURw4bmuU4VFzQhAT9GUizp2DScm
41WPYvPeJf1z72+wtiDf/KufpPu4gSHRnSSiKpJHPVmsOxbh0zF5sNQhuYulSo9c3HS2N5VSaweb
z6K3Q8zMOFK6KTdzno/ers3Gv+6HnhjBSlgxJTsskzspgCjBf2njxuzv7xuSjiPcLmn9jxPLwX1p
8WEiZLv7KpN5qOyN3Y9QTYtrj+DBRlPZXwI1OvPVNS7sj2pjJ+d03mlndenTlDnQNmtWQCeYN5dx
WQ/7s4QsM+QpkZFVxj2P8OvJ67H/P590/xGGAotU50fjF3CWVV8HmYPqS5g+GgMuPMjGNfdVH47T
Ra1661OI1vdR7Tv96PVp9Ll3knM3ufgj69WL4dv6Y5Rk7/fkZD/oj7ER/9bKWQcnqnonwwt6OL4V
upixGTZ7FeOpTa3b8AOS0qhuuKDfcQ+jY239aGZbKZ4cKe+LexsrBMwQul/jd0wEWjE/4wUxAeGp
ePb1R9cwFyVbucr5WI7LZph7R2Ql36Sr6+p5T3kk578EGbAI0CmaFRQa5BdZ+6QpkAvpQ8O4Pd1/
1yXYam1jI33yC6xznaZDZF5ca2bcFi4tbibHJI2Gg5wRQcb/lc0uAHj+Ya9B6b1kUwpG+Y7MKHSO
2TXQA+EjVKQ9TxABF04foDFt1vRHUMUvw9KSrkn5Ebi+8ioNXvJgk+aivNMf0jAxd2GdJUdlcSat
tf7mzjHpezScflsgEPyxHmL892QdWBeOwMNJ3R54i/0x0DavMfJeA+vOa2Gm9svoms+h00fvtHBq
8SdSKa0XvduFxQKcN+5tUWX7nGGbEkXvldJot6jVqZMtc/qohcYQBepJRinps3LyZL98u9fRWmcw
kwenecfeTDniAqi9WUb/BShb9p2vyV8DQJG3GYrrCVONGfXn7mu+7MA0Py02Y8vpWzZkHVWYxNHM
V0Bgzls3kehfdm2WD2s7idwvMifiPXMZnLm579r0KgyPRuu5910bmTWkqEq9PPP6Ddj+dXCtfGX5
UIMw6Ab2BWNACrNdsApZlCePaEl+6peWnyJEpCcpisVKvuyNqmNkFuGLDKbIlG2Koq5v0kxIh28H
LL9O8iDDUYbFygImWl5gBZeCCpHXoc52exOMDj4Mv16ukNfUg+JSTVrfokYV1reIvz6ILPN57XcK
lxprYz1Il7ylm95wdqzxBe4F1dcszo0juIPigW1QknDmRfd51M3PEuHL/lL8SEcOijt2Vc427NOv
PoeDoy8DEiiXPuHYG8TOZ2TLULK6P0FigrD4GjppQ0o4A84cZJD9dXPKz5UPWB2863Jo8838ZYAm
iXXack4czfSlBrnDdp6SuutRlPYq94riJh6ozeJCdr8FMFDulXFkRhcUOL1z6Zbh32ImHVtAJ2Lt
cvv0Wrvq/IRmuXf0siw7FU1av3nO9BUB0Ox7aMzv9dTab0AjKXhbMG5/BYhMDYKZ736a5q+DlyX7
fKEsogYfPMjdJKzGZKEwwiiMp6y/Qa4KUML9Qf2ATHQ+vmu5Uu1dH7yoqfH5KZwy2Slaqn/1YAaU
pRb/wCUUhKdXai8kB5KzXajIguZKSSZB+Uf3Ov858oEhek7wKUBV6wOQ4/RmtQiQqrGOIh6n1gRr
pgb5Jt5fgzVeKAQ+Sh/Gy7ie/bo43XCLugrjq19dEtZ6SrPzCgQmZcBApgcyxdE2u2rbeHnyPY2+
9qge/9Cq5Vs2+vEHRaNGESDxfNYofzwrERZmigvOurL7Bxwfyg8w7s/e8tLIERs/6ygI7KRJ2r3e
uoOP9e0yWvVf47ifPuVoHDz43MJBoxuSAerbCLcfJQoz9M+20WvPYWKzgXDmz/4ivqr4SodSDndU
HPr7HcIPnwfVNQ7Sb4lS6xriiTyrUkz9NQuH5NpF+PAEWXmqRDxRUQ1rA0P8P9o5aYVd1AM97gYT
mn/vaRvBdIZGOF8ta0HDL/DQtSkAUAmW0SoLDPY50Ufht8eI9MZs1zjSQipPBsQB/YLcuwzKJfw3
QlomfuT4Jqg/I8K07U7JGAM/CuZvblINV8e2mlcl7M1HNbKO3SL/KV1AAepDVdrtbu1bJpWdveub
z/oifdub3RdSOOkzxH77LWtybFORwE2VXL16iLNvldY0Ppsw5/Z6OMKQDDXnGBdjc+CbWaAk04YH
TcXx/W4nE0DXQPd66V0yEyCQCRJzQrmL4RnYyFIf63i2eJdryifkf+Yj7nLDXprF8kquMqs9S9Ou
wDvgYz493oPdaROSDX+D9RC9Tp1y0fw++FxzArnx+rI2nj+ftKr/7huJgr40/Mdu8tSdUnj+UQiP
vRKhqiVN6oIfpTnOmrGZdRVXkmtZpa/rhkvuENdEgXuw5oNs4EzxzVlHIlIH1MYp5qR1mB+6Iteu
mDfMczB8tX1/3PNWaS9FjAKJl0b/yGbNNJDjU6PAfcE4LbpiTBHv856Neo36tUvWQY3VT52VaY8K
hmPUzDzjs01J/ji4OXU7Ac2UCfLc0+DfpMkkuy/dQ+Q3UAWWExlek8ZjjPqRtNZDmjjvFRZbpnvf
UliLtRHWCBVEH2m/sx1YrOUC7hiSnYmQ8J0cYHt4Yet2EJ676muJY/qxRKr/QVFrf0ahnlvy5e22
r/t03yWG8iB9emGgYF5S9zuhMfD5Z3OJXmMUJ9nbWTdcsW8KDq4T9NDVOsT5vZJMp9yqpLCAYXPp
l5H/1jd0VBxSc3r9I7aUp0inn93KqnaB5uNdiegxZZFJJbuexcnN1nHRifULdnkwIK1K32e9Y91i
Pcmfy3zYVPkwPUorlS6l0Pe2VQY76Wu9acki9SyFHXnbogmq6yiJ2rUtnUkw82+S23tQVBtb3i4t
MHjmBBqUnw3Iwp/PkM4qOVQ4Kj+VnaNsygIPVzlvyx9Q15PqRknmIsdy6SeRNiAM6ngbWewxoMrx
Lbqti7d0r80u6PJdgFbVdh24r/chwkv/gps9M4/2XaWOfwLKowWIvl7uoPM7ylzw50ld8oFYJoL1
NXPqZn0Y71MO2E6xwUlhQqovifa/b1hl19on4CDr1I320lwvDhokioPbqorigLPJkty6qGX8OodJ
/YA4PmddlMk54Y7Pntb+0CbHPa+a5q2CBnXq4FktYWD0p+ekMR0kun/OnAe7P5vAvLyjVrjJl8DG
pxhkYrFPArYxjh9+zjNXOwIhsI/+4JifFD+9CHIxYwO2BfSAKLw9Jo/TiMmDCJKoSXJm4zvvlTBO
jm7ct9fOmNWt+HiHDRtdSHnDdVD0/h3hYEsp3tCHPpZ6NDx7I/zXhVqbKGRW8wHcsPBxZ097Hoq8
eF08Iliq05n3oe67nxSv/YYgWXtE9aA+imztzbS74S976dSrpj6KyO0X6cxGZOArH36tNljtA4xo
BaYcWAekkRo2vwB8wrGtP9qteriDHhAmPQ5qZNybVV5cna6OP8C/udcQMk49aG6ZF6kYxHblvziP
a3lhbMz+whYjBjfNKryFeYC3WOHWe4lvDHPEH5VNBSqEVIAQVrYvMwnftUAqd+t5UAqp0qyWFE9Y
O2fBiK0/Uucjhx29r4JqpvIhAws+zF+AYtJFml97soJwt04SiJk8qEfld6cL0DVxORNV4dAkn7B5
DF5hgNzX7nCeDjF4wSdZtuvK6I5OgOH4fU1fFvv4f4mQnUA1FumNTcPtDjfO8Yosvem5m/T0dUqy
F+m2qSAdWwxTDkOB5sXCXt+JgMeU5Mh312ejQ6a9jwGVSM+8CJsoDbrL0pexeOeupj4kwfgpWMia
rh9F+7zK9LMKdPO96x/mDqpnrYTdqTTr4CDNwupvVZJHb/qEsYaXWbCYl9kdaGAYMWr92LGLel2e
WoZf8rrNsOfkFX0olbo8tYHD/hK231G8gzqnV8/lgDyVNM2xKF/0Fr340oG7Dczo1UVQ+lGchVqr
vQ5CJsl820BeHD1t23PHcxFzSLR0lt5Un9J9tTTR55iuehfXGxnVKjV+LTmcyaBc6hhZHU7uT9Li
gwCeFuEsfTawb23T6Zo6vvHoViUpt7CCfVXE/0iXpc+gEWwZsLIvOHGF5wkRebSGlbcgiIrqIzzu
ausfy66c/gJ8XR2HzuyORmJ0f/nHgFX0L2pZ1XFWkbuTXhJaQf/3rDQU+B2vORRt5LzA5t0OoV8H
z3FalCcrKoAVqvz348I83FB2Ygs/JsGhaVT4gstAbzfDTe4AHMA5kPb9trLrS+ro8dnWh6DbyCPW
OahaGNmiljuEsfOidsYPQdQ4iZ9vXDdAlMyt8yvv2WAvGBzLPRjuUHwFPK3tY8soLg0A0ktvJWR5
G0wghXHRxZxCoqr+Nrb6CFEp9Z8mczQx/PXzI6wZ44PElt2j3+Fn5KsWyrpJ5t60zMYuKhu2yEiP
NwvdipuxXOxZLfxD4/rtBmgf0JzWCpvHFP/zgxayvemtfuzRsICYpnr4pyhzqt/Ys9tILiggAZzm
ygYf0wgZMMqpwZ+bi18bl4j85DHyyX5tXb+Or4Uyay7WG9xafoiDtFUn9anpUWjF0+tKjhpxG7m1
vLRj8Zrr9kwp9LfsvaE5HX6X+uaexk8WomKolWT05fbX8OrXQ02e5Jm0UziLeH8jQeaZ4Qk4xHtm
WBWi2v9eOOo240bak0fZNu2p2Fj97yEYDdb3GVU7ZVs3Zm/527T1WXCwskNGHaFzUvTbYgDBiMAB
BDcqzLHMpDgLyKaTzHLqZflJAqXTX+DDd4jOEq2qbn42lky1jMplGLr8VCMfs5EBPbTONUDvy6Sq
/eOwXNzAiMmol94+RcDjcR2QOz8sLknDaVUGw1DBXmcJa1XFvloKGgxLS/olXppYEKuUHhGhkqYM
uFXI1zKE5leDeHuC4/8JrWOU9po6fJKL9OcW5OgSLXuwcv85oKrFyUpKLPeWAQmWOwMb8Ucrf8zx
DzHvg9LvTPkJvidGOalx+iOPK0eItFPfUyoSJ2nJZT1zdAH2sXbqHseSDMKb6UXZ9p5JwavsxW2c
ZBfMVvSoJGVwS1y/3JMSm9/5ml/cxo9+aB1HJsCixRtFVEx24iY+d/Wkv3TeqG8kBBFQsjDa/FWe
RiK23razXxyLwNGwWDeUj9q8WEM3XfyjCq0t1GgqNC0wKrzXjK9mBgi+sg3lA5oT094t6omEiGqc
ldFjaSyN7ClVi3mBL56DkP1enGvuVSgh7SRQwej3ZufWwFCWs5oEQ+P7vTnX2ripUqu/II2lbQML
nhgWJlthqwA85HxjdeGb7QfRMQAGc+H1EF30gOriNGaUg7ruatmYpRnLRe5crc+u6cwhP0+Gx6rr
f/bLYN0Z6aFWqV1Icx2V+YGGbkBDLfqwjq5P+fUDa46bHfvyD7aN3HnjtN05WSRe6hoVi2T4nLGM
X/2usbfSbfGuYA/h1Q8wgq034CZHa5GA8UbU0QGCg+paZrtp9Ka0avjaVGhdmA5eXs4SZhWIJbhT
+CT5EElurJmR/0OfhOT6rJyd0kbRmFTKPU8ydC/hHGtU0qCRWA0f6GK8UNFZ7GFj9ozsAdLDH8lk
vXC3SdppD2t/niKyt1QnZQcfWMqB4l11mZO4q3ZuUjunInQf+iQFZA4fFV5UvfCi8g49RSstx8M9
UrdsNOxGJDBQy5yeK7t9Qfu3vQq1Sy55nid7HR+53cr5ooac3Uwf7Zhl0p3oVTDVXKZK3zpVa1x1
Fye8Azif/Zwmo2vc8lNbtTyVSM5chVNX+iHStHFSPkiz/tUU4lHiJT9Hpfnb6MIZFmX3da4Eq5ld
PAhLaQ1OtLLbz+rEv27xqXPZEit9uPcWMzpr91sjPOIhgEmlG1OiI/HA8T0xtet6mZtQ/73JbwFC
4FdMVpAywor0+ywD6txHu7ypHOh0KjWKl1Af/YsJg3mHDsj0VxwMD2qH0HQT1/VRjqp/nFzl8Bsu
SCYZlYvdZOm+bT1U134N9HJUXtsSKJPb2kAiBrTtxl5EB2px6p19/8QhAll2d7jbfogBiDTXiN5o
X6YRzMNmHZA4Zdb9U2+NL7+Zh0hINWEeFqbOmWzQm6DV7QXGznLHF6NJWhJxNMnYYoXmVG/SkgvS
jJRGZkwbZVZbtOHD8ow1Qp6BLsjPZ0jE8oz1p6zPWH/K8gzIKc51Ks2/1VwL3rzU/WgDgnjAoSR8
iyoI9lM/VwcZjMDKXjUdOQsZlT4FpGZBbeNVujxOuds5jeYzHvDhW436HRkzYLkyWoVF81wtBjzL
oEyHG3JsLOiBC0sb52HfysN/kImg7oSd5ic11kyK1K36WChTybHLmwAZlfMTX0YqsV6mfY7n+YtH
yvBiIgVSfWsCSIYp1W7D+ewWJumtxa68Mqjiz1OC4yeap+0coya2OKI39DuKT3/aYCyOLAgfaTQD
NMPPD4IJS2N4n4am4eImGDPyYP/RlnHXHrw7tszMg9fQdOIdaBYsQvwqGy9TGbyYfsEXp496XnGl
/8y/Qf04OCkn5do2tmlTR99sz+K939ufFWy9junQFacstsJPnGQfJKAF3L/lJIwVxqhND6YenJ0W
horLn+mhCzHLQBzL2aeuV39y4/nzMLXOj86wz7FZNF8cpZt2/hKq2dl8nbCjXkNFK/Q/Q1kyo0tH
7qPgQ3lzi7bcq36pvQ+QIBKtjX+4jhHAOu7yN8TnhqPrz9EZlpH5AkIHJaQlpEzcTRo649d8tlK2
P0P4yEYwJFf03ph5vqWOAyjP6ou/lCb0roh1j6+Z6pYPYaU8Waz8r9KlYMewKx07Ovw7Id8DwVOf
ZBTkItIyBfDzoldzTnCjpWyovhonGTYNO+f88fU+VfG0EGSVq2xlMGjRVGmoUR9Q2Y9O3axnoAq0
+Kmpe94JSdqrt7ZBQXvpw/yhN+/DKtbEJA9yLPWaSOFdyEc4NHrz2CMq+jMmylSV3V7FR2qdKD9G
6ZHmULziFCJMd3NVFbowGaazPSXIlg8a5/Ilu5S0ZrmrcrzoFX9BHeYq+1UXeLlfBfmTX2JmE3tF
+4ziU8jXxevO0pxgMz0jkqMfUXUFfC3NJU4GEnwXFbg0uEotYUt/oEbo0mYwT2LXhZCo8gG65Y51
kQn3uL4B3djkLuD6vvPSQzW5/kVTZ//SoQoFC35po5v+MKR1w+7kV19kVD8DJVrifhuuqBwqexla
L4VvqNbWa5J8+QKlcHIidvZl4qi4MOqWe7EDvU9uIUwynw/5kZc9NqikMEhEsNBvJz2GWq4YzoPc
RZrto8I0f1j7UxNXWCrKrfPQ4pi3ydJsPNpJbsy7eOnUtOk+RVq/DQyKG24szx+OMiJPHDpOQnZB
HZvkGW5RsM+KscOLFOP7e0+aG8O9DcQjdzrcWhlLJVrG5NIDYWRM5q297tyVnBe9feumCJ4qFkVW
bEtfW6UKEAY6GAWMJIBzyAf7gRLBUl7aitp/KOvRvkmsisLQtRidr02I8MeWg8YEbrRpj/Gwk0yO
5G/wrnKPhp1gkRmN2XM5Iz+4QRHkaWq79ioh7ZL7sbrWPWZ5qP4m5ypPWWLbMv0ZC4n9yr/Fexjb
pNkYup1c5JfRrUF7pJJzjhtffZWuwYJxxqpjwi7knzagkfJqWuMusUv/SboCB0CJC6R1s86iDPu9
MX/k7UwBR0/9l7oJ3712Ur+Q3PB31mCjYjZ1xXsWfyz6QPvSNxrv1AZyEgZI2heSHIgtptVbPpbz
DaPkdiuzfaOgTgJX7jFPu6fRRY1h2NzRcuRq+WAGjnvhCK1stIXbAo3yZ1M8f9amjK7BYhDkRPjx
pPUMGbOcjWOWtiql6Q7EN9yxr4rZ7FkJ/b+VeELcfM7fyyBANGRIqb4lvXUeUUnZFjNAiZmzyqXH
lvshSuAZB73lvNlp0WwS3Yt/IBmwcczC/CeOtWdnUKovueZp26oLFAhVjnp0PLTxHauBj+8E3YWV
TzkHqdn+eZeA17v0daCc//9xbJeKw4DMFM6RWv2CCjLsvm+jgDpbXIBphGU5IsmbGOz4g8YyEK9C
qRjM1+Ve9Lpfm9a9ddjv/YZnsn6xn7TEv5XLjPVAe8dDLQMpK87BS73lr+WX4Ud4i4cQr95/0hBz
LyrcXy20ibe91VWvbRHZBzW0mitk2fyWV0p20MhtfZh919qoJhmmZboD9nlPxSk/qDakjx84fL7a
+FEUs2ed7dyfIPTRTBG43KQUAh7Z3dXIai/44l+Oh3KnDd2HoMV6WFplavqHzDPdrROA8rCA8t03
5WtTtvvSrJIwehDZgbX52yhF6AfZ/ctoX6j//OTCNo5CvdvJPH+fu6Z3cVJoLCe5TZf2MI1oUMit
n8Xuz6gA3ZxLUnJYio35ZcCMJIe0Td9ghf4F0IZ9KIbhgzPMiDcsF3NM2OTLrWq6PzvXYekbFOOL
XrY6Rh7/TmvtCJa+GaTjS82u5AKbAg8tb26vY9LaT5WSQgEfrex75HBIUCvz0XP0b8BwtSfXVJCA
dCGd2ZATbcCsdA4DR7cgsd1DPZb6k/TJxZqDR9fmTG5VJd+belT0R9t+kaj2VyhKxBCHzfmvdbYM
tpZDebGyX4sOo+hfsK+kxUMlT1oswBe4mTSXiAyLwbZA/AaeFgjQ5SKnzfvB009zCml9fJC+NSQv
qYxt1jbS0PC9YPLsJbBCBJsS8eQhCeaDi3TTwrzoKkxDNy+y/ZD4NbLySbxfnRPBjnhP/Txf8jJX
Fl0hCDmxx7HE1AITmiWv378zHJwGwXCHfllWm2GBb8vlt/ZvtzLkFHpxGRfZpxHYjjcMu8L042+L
j0SvAE2xXPCUWB9UsFKT5ow5X34cNR0Bz77/IRGOAyMIsfj3HETKPi8Lncxn3j06mqZsNZ2tvmIp
ANOcNN/CcStvkNvrz3ayODzB0DIG7bI4aO2k+f9GRdAI3pFK/RkVLVKyEkVdrrqBOZZnSbc/WNoF
t5EQQX0evUZV3XMKje2cREP8qgCwwtpAC7+5OQAcm+o6e9RovqAg0u77pLW+1h/VIIm+GUaCPLBu
uBdz3tURp33ot9DinLiDr7cw7+QSKS3E7FTx9msfOTYYeku09CHRCy5RAuM+9fGFT5zjWPgf/1dt
87xXgXr78A9XXXO5Q8g1eLgrpEcVmjESEy+oom4I6quBbDriTqkxABMiPx0esHuPF7sv8tOmZKml
I5Q0dlSCY7diNsQqigjXVjLWyZK8vk9wdA1KbazrwKirXL8hInhU+k49abU+Aald0uWm5Mg7UGdo
JdVoNNaWfYJdxv5mnN5ZiOLzjLoklrEIFHqLD3rU5ukjerDj49h45CiM/hgOyN+LZohIgqx9q1ZJ
a/k/4yREgtc46ZNg6Zs4JJD9W8Bia8z6/PVZ8WCP2zJrdYqJ6Bettk9zosW7NoeiLZQyGbiTxypd
VR+ib2uoWfnZZrSC7NBNHHehfcX21cWIY+MrVru3gQhfpU/u5KLil9Uc5NaINL5+a3ig50W9kSHN
C9NukVT7m21KdQiXyrlcEqmUyy0idEyfFk03EJ9vLBrV8c+YuvGJWafLnUyRu1/z7o/lEPDzxzjZ
+L0YWTo4BfL5lY8yoljOZcEfyEdcuu6jzh11u3zwYVA4lwzi0/1zfx/ni9WQhcevxjHa5tr3JAB+
vx1t46WMvPyooxl0lRgjzAr9JrdaaGeXYIxmNhuTU3v8r4QZnq69Ht6GqP0fys5kOW5lSdOvUnbX
DWvMQ1lXL3JOMpOzSEkbmCRKmOcZT98fPHmUOqfKrllvYAiPCDBJIoEI939AXef3mcs6WIFKd/xH
PJYZ13HXubHHfVsNSyrx91Wu45SAnCNyLH8Tq8hnpEAW8Qo1bbpoFyuOt9Mb5an4LWjxh9YFelEM
ZyM4rnt5Q4Z8Izb/ZOh0GETdkvu+cHOEoJMI8LLT8MsYALxuJehiR7H9UG+Hul6uGwWaQRv0+UEK
lagVWvsQC2os8qhzDsWUnklEfrfmrH8JSj9+YU8oXXJQKu3NG2bzLC25VuQrL6qrGduuj5U3uyrW
MUjzr7Cm492I5+wmBY+JEYW+h2xqraJl0xnGM5jemN0oDy31TmL9siVVQEJswmU3GsludF52oxm7
0QTBXhwzl81u2Wkd4FlGy7zp96U93uBYElhHfdTMeznwC9irsu+5UZaYo1Xm/dwG1r3nm1vTq9Ag
+D02RWbjtjXH22tIzoyUFJjTd/VamkBkSoyzrH4DCw+IJIgvfY0O3IRhCvs6ObRxYGE9q/XsiPVo
JXLwVKn7gwEwmYwAtnR9hldtbI/TUZqx6b2NXRY8RE7cvCrFTbi409Vu1oG8c6roq+1G5BoztJmn
hGJub/Rg2r2OlZrZOrxvOUx1/GuIUuNGWhIvJ2+d5C67uGUSaoDOHRmHbWNZLX5iOuyVUCuQNVum
ywRqxuMu0pFdlBlu21O0TEKLrX/ah9WxztEHW40xrEw5XNoGfHJLgUEOpDJPN9JzOU3msGCFXZk7
qwrfE4wl2aQssYhBO7PMdd5aaEsAAljyraL2GuhWtWlixNOusavbgejDypBqGTLbGfeYOz6FZM9u
YhcWqkh6g0v8BE4lfQ6KOTxlmBgi5Yg+9+946iCz9T/EUdkKT2Gb3JVjgKqaA1m3c/WtiMFetWEb
qaxKG9NxbI5L3nsKCPhgfx0ps30W4RvIAy65IJW9tHAyPXCTers2c743zARjKxo9sA2oWKTmd4mJ
Tk8vIj+1D7bXnPSTXVf6Ji4n8wYbgR9F4JXfQqu8nMR/nfzuWk7wAqu+SUS38q+W87X0h3O7IBTT
um4flpagGfO/tX73ZdAz1z5/p+MFqGDk4y8FdXx8SBdlryJGjXaKzc+CZYhcG4/N/CBqi7GO5CLQ
mq5eGOTY794Pv8UV/wrLGBktA0j3y+hxGMif/vcLyMhmBJ/gFPmvOplZuZpQEF2zTA9qX+LCoU3T
rZyZGNFinyVjcJdIlbWEmzwxD8WgQFdhuM5kMiUpbqvY7X1c8I+JMuh6uF5dYhDswmzMPk9+W99E
qIFupJjWRjogwwoJ7Q6PxmddLc8SD8dMASOUhNwi1NxMwzk1PkL47P77u9oeqeMv8STo640xV+0N
QsnK53cJGiGfmCL3HmX4GOIiC1vW0lhZWOxDFlDLW6F/knA+QQlJoD9ffl/5oJdfTE4vf5brL3L5
02gI96OAwy8kg3qUmbZa1eSrbIiGdjUPZn0y4sbVdoZXfVKmWt27YdSc0pLdiY1yPuv8HSoo1rNh
GdazanjOCvSMdcTQ2XyeagjquWOXa+ltIwgOXbkloW979RpBKgTATxMC4yfN8s217zfWujZUVIN/
d1ybaR7MzQpnlfngBNpNoASFvS7zKbj9d6cuovmgmYe4WIHzn2/mbishe4nLmVxCziod4VM0OpEG
mtHk/uC/NNEOBJ1ykkqjVCAjo7ePaIljuD2wxZKO3nCRnQxKY3sJFkn8YJYthragcasNCr2rPMaI
G5+mGSkMcxUi3Hwfz+N3fvXg2Ixpel8tB4uv0r2m1ugpWIG7labTWmC1C3xMtglgPgoVDjXgKTZw
BTb9H/+YTFnBBr2D3mMCgH8lvXKZavTW8gkkRMrmiJ6FejI8Pbw1CnuxsdAe+rHQ/JXrm5tO8cO7
VpppPqfrMinTfZH56oOJCOIDElL4bBfs/PplnkxOc9e/Q07nIyRzy7L9ljpDeSPD5OCS/9jCI9E2
1xj11MunACWzcKa817Gp0er1jHwfL1WbGt2EtPwqUQxXfkcNWy++Jiq6vhLtymgZO+u98pjnfb1q
CgRemnHQv5Z9fW6dACxDgXA/brLZzz4ChQAK1X/NO8zh49hV7iO79/C66+qbsFadk6PX4C5wHniW
K5kNK8q0T6smAjELkjpcSiYJNjU7U3HTF7Y36WINY723xbzOu9n6NiisFLwsHu+bRXQ3ivvv7chG
sbZ1FFFNGxSfEZWPadEhfhShcLUUBHFdQdptGSHN3yOkJZOGxFA3TR49NJiiXB4NpeK/mu2cPfL1
Gx6jJLw8GvQWb4Q6Uq2dbJTH0n41MRB/jICH/mMUylUW7ke4L2RxympseZaHWfCkJXmDVgstCRnL
Y53iyVPX+/Uf8axHAasZMBsYFlPBaQrsYTPY3XhGX3g8exkarnlkk/BEcXKLy9AYYrDnPHaBUVz2
J9cNyB8bkjizcE2SzcjlNEsWsxbK2isvwbJ6gvv+ULvk7VQIdFuRETWTHq4279pFZ9TErR2RhHDe
46o6bnNDsw7DotUdj9+0cTTeInc2buxeKwBA4ScX2rxD3KQtKSBqzmNkAvBZ/OTaxAIlMCgvhg2+
wiBP9Jjoi5KPSwpQywL/UeVXvuiepigU+fM7ogsfI2Mv/RiJshDwVZOso2BOcKhwW/W9mTc66Ybz
hfdwoThor4Pd5Ge81GBGCBPiwn/QXkM/ynFBwSEP0b2zYApU82tcONW9y17CX5VuxXuC9db+AlFQ
usACb7Xk7S5atXGs7JH7BIXh2elJ2Evg8XGnInnxFJmpdszsYd7BKMveSNac7NJizyneXqgakBcs
ircMQvEJQof6xI1QnPrCeQuEEI8Zi7VGHqHZS69tqfPTu5zKgYRtBYIqcdZ9k1C6SNTqjTQNTMha
OcUmgItVMsz5GteeeespSXHXe52zHtR+Edag1puTyHmA7RjeaYYZrWXtl7TzR4dOteNuYO28Nmsz
whR20ZMtKtT3c197plJTrpChdt7bgaR/kbbfFRh06z7KqEAGoXkstLnYR6z1NrAy542WD8OtqY7l
Rh4vZlI96oHhPEu8ZX9D0oeC8+84GMszymL1D9dM87ey6JX82DoUqRy1zc+ApRFOW+T8yMTl57EG
ByZlg35aWQjH3AEU8W8VlreC4/on3GvpDFxY5wsR5or0igavvEFRIkPhajss3Cq1oSRr5F6JEWoe
H8YytQ+N0cALRnoODRlqPc+1XyLvNYzanePa9rk0KI0qLZIfGDHura7o3rCz6Pc1GkjLvdO8OgaQ
1mLOH8AdDKt+SosN3HYTqLqtvWnVj2ZW0arzGuuQBeNEFY+mgaYSCWP3sVhEpGq/r1baGAEGX2Y3
EcJEFlSYD9JuBAkFikp3uGRZVSv/aF9Ivzy+P9p/jNcNtTvo2WCsx7acEISMwWIASd/0OtpzTlcE
u8Sp7d2E4earEWuUIXgTH6WXHEOCcntunaXXic2D0SflUzY4NkLbBxkE6cp50KrqXlqGHU1gqkOq
fsv18cYgx5qivZvDi+gsp8O2wcue1R8AVPvnfjmYOfKWOjpVe2n2tTuDzC6+SkumuE305phqgIsa
44Ew9fsYmcVNVHjGAfcvqqBLHa4yCugTSVitpV4nManDDZ4NZAGN+GtcUUJtt6RAL7aMMlZ68wTg
7TJWQnnqg7mtJjb//M3XIOc/Vfk4YcwKngGP4fjStCM8oagcjCDyc//OKptXKUFQofTvXKV8lXKF
G3qe9Em1wlpGOowU9NH/MG+5ioz0C4irFvWxXaRme1k+yqLRV1Csd+wwPskyM/TDYO/l47iRXlal
6cNsvA06lsKLHrEcSmStz7427K8JPxs9Pgld8n14QXhYmfd7v/ZQsEmK9JDqxZu/MNPS0BwOfTvG
oCDhrVkhEPIm1GoynzQhyG7NJupfcjPqHywsJaroC4sf/6c7/EyAbrxnCm5L4WyVz9jhGbsIHPst
GyCU3gJrca5Im1ffLn948TRv3MBu1siCF8BXcW+Ndc3eOyI6A378b23pT5f+LtX5ClfQRf6iv851
X6yEkFeFXfOEhwpPn3I6S6hWCuQVY/1ZCHxyAC8HLWWy0IVdeH6Xw//npDKk2DgKG1cN771i5uNk
sbONm849uqJ3oHduu/lg6PaAuHdO7LG7K9oK4MqkfLLgUEv+13Zt84iqzrRpJtYsmDFE82sdgg5M
SQxtRP5E5Okuwnv9tKFGi9uybVh7mPTPtlk45yjy4NssZ/CmOFQ8/MOynbb/6JAhA3UW/JucjbTy
DJe6dEQkJJ1Mexsiz7YVAoX4C3vmDsGRBoQPfAut1A4N5cIbDcO0aXWFiI25f/SCMroR0NcsvXIq
EDPSAID7x7/1Xq6w9Mg8udTgxOrWxPaV1b7DS0pVwPI7VZ/pJ6P/MfJyR0SezCcrCxbzhpwuidJW
K5ACZJPRANrUVk0APTzrJ31zuZmkPXqGvikAcKv7a//lZhqS/u4ieJGNHtwTDSGPoG+V23jW1F2X
mMGTivcoXFyj+TIY7lMsqtH8/ZLCUn/5Tv9FRZr4cxrm8LvrKHhMsc/bj4MzHEZL/zGP3XMrSKrG
bjAXoXn5Hlqxbt12+vAclcp6bvWLjsAFDzry91rxv+TZKvssV4mjO5xrLxuuSyxNsGxhtVMjMG4A
vgyal2Ec1bduw/PTeKNYp+OZkXdASjzjDRNcdRcZjbGT3trFZssMLWAjVgdG2yzRVOi8COU4E7uB
xW7a1Kbw1m5xjpX/vsT6Oo5Xhg1MXpqG6nwMkaYc5Cp7oMTDQZvVRN3Xof119sbiA/XKb6KR/0rW
VZKNmypFyAqN6jbYCwlcDteea0zOBqGIy6nWYZCA2DE0pki70QfnGIdwsRzX+Kkr6imp7OA9T4DA
wOAEaZZ871NF/2pXORoDfZ58qQOo8HMLakxrgBrBGItfAx8pv5HE9stQ6t7a7lKomjrLjTRlRzWH
PBazcrzTPCu7owBG+bUOzG9p7+7TbEHzQcSPulr91nusy/WssZ8ALo27ig98W0w84+2akrDIjrVK
lxwVfTyIHpmE5JAt7kFydu0QATNpDqaRHfs0OVxDlTK9hoPbQ53p+ucJqmyXYDvtLdaOEJ6SrR/6
oASWJozy+D4N+xufMgLCW6CmKSUr5E4zu39Gz68++tpSVF6uVJIFYZ9oLC4fQF6130DXK+Q1qBy9
WsVg8Hamm3+5wl7l7I9xCfdVi/jG/ErGxFh2eF7oACJVwkfZ0iU9cnnw1bgdlh2hxHSEK3V3Dh8l
xI2KxGDGq086JwTVTxBsX5FUzV8iJ59JO8Gb7yPeV66Om+3EmkX4UDnOLGswEtXR8NTsJQL/uh9n
I9so6qDs9Mou1oUSeAW8r0g7IbG7QzkquLnE/LR+zvvBuHdWpWEWCP9kFhYaNuXAZQ1nG9qvvCoG
0I3G/DBY1k8JUy3zeEo7+tHIi/Clr6r9P2yIrUiDaRPMcHiXurUckMPp78YwwRbX+ghJPCsDfdfV
Rrrmn98DUVssahxyRieRAbu4a7lqjcMMaba1qIQFVsRT3M7zVYe4A/VzmPVlUZ+72QkeeAqGD/Vy
MIvIW5sW4ALpkJj0RmDr1QXdsYyXS9iBygPCAMf/j2skhfp9LDztKBOl09CHT0jyGQeth4lTuDj4
SV3mcsis4nxtJnbjACxxjteQnF1rP9IcLP1X7T9BGc4Plx2eFibzPg9Gd3VBmGvjFD3k5sbGaKzZ
ohGDAOQyunea/Ydlp8EGBtx1bj0PTWA/R+HntvGHJ4mk+TCCrmiGg/QF5ZTfKKVLIjwAYXnZQ4F9
nndXyEceTdz+17ZAPf4Ah7RN/krRKdhfh+gjdstY36RHMcRDB9ICiv6MmC16NUERYMkXqifpy31n
3Ezl3OylN3JRrY/CCbldgOMviqVWd1OkXabWk1avsmbBQo+BuUZHIqd4s3iy2OQ0jpmb/AzRxWi2
pHIA5MfK+fI3xDhzm85om9aFZlN/huaegnl8KIOyvothrUvoGlf5TeCgMdZDFeSPsWRC/hjrL+a4
17FTOf4C4g38GIkpo7iDiz3ulUkpWB6S0tX87EcTjNVDbcbdEzjKewlHdfwxSnAP+lz+OcrQ7yUc
UqXwEb3bhFVjIOszeje6jwcpy1sD/ETZrMl4l1+DxjxlCcZ9bT9sDF2Jf4SFO/PliMKXLOncLV6E
xbqeUJdEzbZ9slFtPIad1yxWE82THEZerqw6enUPZwSv1diFGIny9UO8oNk72zYv9TY7ZiMem/N8
kKKb1M+kBtcBXB3R77qGZ9MP8Efu32TQNV5ETrrVMK/aXDt6LLj/KmpWjQ8hrizcjQ+qYo0CEgaI
Ax4LlzMtmu5wiH1KLeRyr3Hp1NmH3Prc5qG5ODBITA6xC2e0c/Rf7G27+9wBqVjasLrIM72Naj/f
kp5J1nhwlG/ViC6orUSYbdhN8QZDzl05qZmdpDeYzZ2nTfFjl6LJaW3Swk+2kqKZh/DdCiv/KPwP
4ZTMsC93luNZ68sd6QaKfYa3cZkgQ9IR52UF2WLMjjGTym3fOctZpBTueQg09Jvi2T1PyxmJB/fP
3th8Jd8UrDGpNz+jRLIRvxufteomqEf3NGqVfu/6ZO6Fbj4q9WNZa8mnwcUNw29aaxcA0V7bfesc
wdGZ60Bp/L0f8ILktdCeBqyU5d0q78womj+hRJefpWUs/svaCK9Q3q/G4s7MJ5A+ObgYXgHPykO+
GUNC+r22wn2fd8Zjuxxs18sxyFbtYzDzBl03mXlqgPueL01POVIG9B9krFXw8vCtYSfTC6Cdj3MZ
BreWNn7/GB4tftakLdda17I9ICc1bbUa2Wh/Wq6eKr66lk8gs+2qf5sMHQOKpUSZkSBbO20ZbK/V
SalJXpvXIa6TkPiUHqA2VAKk3ulqjbaZ5kpfkmy9Ub2F6fDIGoGMdD3dYKJd/pq19ltbjmggVaaP
LH9iIgJWLlgF/Dgju8oov0IoyXOjfILiW63LzgEl5RUnbR5qnAZJ89osqqz9PDn/rGhPQxFtkoCH
oHynrge4Ky9sE6sbCck31Qn4axr+u0Qo8CBiGNSY+umzV6wkWDvKZvB8xLCMEdZVPvveoU/rs7Ho
ICLnWvWry+ml28CUsud+QBVkGQ6DnCpdjGJ2UDrhvTGH9UpRSn1vIOB4P6DTZ67mCUWr2FBwj1uC
l4HLmUH190bR88c/BstpYyH0OCft+TrWcRXr0LjOJ4E0CYQpzgJ3PVBzXucCeULgK76VbjlcYE2C
cLrO+QMWdR1+Cco1ZXjWIN/NL/YNB+F3W/bxEVlfFHzHd3XZ5cdoXCLSRK7hbsQ+RDou45K/xrnV
HB0MdXwffssDt9wsZ43C+VmJjHcTSONeOmPRFpbTKdLTU9uqq+vYf8x3QiyvrDLHLez3hac4PGro
7J0ap1fucTCRZ9SVn9aF1bgqLb88XDsaVhf7EtzCSmKd4833VXKWe72ATYKd1/TkU6G1boxaoal1
TzXuzcXeDnPt9K//+N//9//8GP8z+Fk8FCkv/Pw/8i57KBCvb/7rX7b1r/8oL+Hj+3/9y9I9l+2M
Y+k6alquaeoq/T++PaGQw2jtfwGKHosoyNMbsN3Z1ooSKHQuX/IlNyoZdMmcGzB0SVfrzyNOL42e
ji86b+8jrmHuFpv1+ZscKFe6W1IU2jHO6+nFs2rkdRZKq6alKPyX053mgw+vhxFpXDNWv6F++jSO
nX7Qk9mGzzZAa7hBP8+8QdDutnTI62FfvrgK4BO+wpre39m5quhY/eXBCXXIHSVtyki4414ydMHo
YxdQwQDX8qgHK7E0oxS5JRWnCKew4jWpiBjHCg7JhD46sLJ0D9whucSiKTrbCve/jCiq2b4bcT6+
TgJBmh3kQmmK8/y//2+4+t//G4aqekizk62xXMvQ+H/8/b+RJgZpF3AXN2kCzmeygvohdeuagqHW
bHDbLbcSkwP+Edq5bOJLCB05WFsd8GvdbOINFVf0XdJquIdP018OGHLkYEUL3rsAqxF3ScMBlHKn
7adoaKJt21Tv6PZuPmQ+Srdx75R2DNahSnYZUSzojdc2hQYqWHPQ3NfLmXToFfkBibm5AxCha/HW
k+Bldmm1OooB+9QyfKjIbBgvW8wcxYy5+NhwKi3v+lQzPjacyAXGoI7qGxkqkyazYdMZdsaNvALh
VDTH6yUvMS6Z1p79IC25ZFeM8U6a6PnF9ygWXfascl25JFhp4/Jj5JKervhovLHp1fkCHf79v1pz
veWf+cdXjxefZqsOZTzNMj3Vsv/xz1aHIuVr2eu7sSM15FPgO2ptE7AHpIZgk6b6BnV90/Rx+tO2
4p+J2XafYjOEh1FlSHAUqXZ2wcdsFHcaPs9pfjc55vs8DzHidngoTGzg3lDijbboKWUHaZoOf7mQ
7QwrHXqN0NzkeH08l9qgPZlgaCQcNmZ1MgeUVdFDh4E2ZvOxmb4ig2R/0tyxf+giA3k+tXzDask/
GgPEsHhZ44VKib56qibQDekt++hNV547JCKexfdEU+7bcQifJIJcLDpl4xyQKszygo3TpVMdq+wQ
BqA6PD1NKB//dRjL8a3qtXzvJvCYgtKNL50Gag3N6tqWbpmGzjBSVUbgbCursFam5s13udeY68YN
i0/DlGXrbLbcV54iOmpp6YzsMJngEpHtr0o7/FApHX4vMvW5wz7pvSz921D1o1/Uq3a6OsYwoBzK
X4GZY3ZMCW5Us9dWTesVCr3Dm4voBCD07ilwCuUJCvtRwoiohsAVlFfVak593w/F3rJneE1+ph2X
WD73LH10KN8ryN3Jruv2Sqn5P1AsZMWVzvEjUFLvEKPZdlBdXg5uZagw2fCk1TQEALP/NtQds3hl
aybIlmU8eKR/jHdCCDJyaR344EEP249L/20o/GXrJejcH9Fcq6cw66atSknrk5IbvwosrX9awysa
t/l70fGOjlM1fQYk2a/KOfo0hgbvO0f3jnXQJi+FhQ5LNBsUmMw0felRn74DI3KvmsjuYxAUHhqM
yR9KCmhrnVrbvhk7YFDKcFpeVrfScrRwslZl2Z/srDX2ZDO+pKmivlKO/mbhxffTRtzfrUPzR14X
BoqVXfRsxpW769TMuQkL9P8tm2JEvkxC6P6bs0yimLgqx+Fj0hD09iZtURCTtGSCEA7Cj/n50gJH
e/TCGXelJdX59xF6gpR9pFQPk6Fop5TiwKXc9rt5qcaFbQk2jco+ytUjiJNSV/q7ItLKR5Ptp7bv
lD4DAVg5fDdU+95HLOq2d7KThFKjr9l0pM20JSvsraNOsXmucZDBucMdmmYpsjhD2jirQamDG72D
MwHF41Gk2ge3uFGtgO3SElIUKCEhDx/pk5AZoNzQuCSBrpO0yTO3ddAZG4mpbbpJRgPRxqY7q6Zv
3evLQc4qvbX57jXGmjeTdhg1MFHyJMBrVNs0o4PnW1mHz64eVo9GhB7O8qyQQ2qn2sbzWFPJhAAF
oEcfuup1hFwjKwpr22fgVz3txUWt4qYabUSupdm22X0/YljOLdqtseztKit5kT7TTj51sEnvpOXU
iGWi/X9sfa166OLS36pBpW3yoUULC2Zxi1BJqR8v7Tb/Ys2J+zCZSkwm35xv4976cum7zpXeFGnQ
p+t8iVGSme5h9K5UYHvT5Nrfh4KPHMMseGqTqNq32DbczLOx6G6TjcoxJ3qbK+tVblC0E9fq70mZ
oVZPfgreBhWA+0rPsju7VNDj880nOWRuXOCTnSPoYnX1ndalyWvoxusO0dHnZqzCV9AW3ZS8ZqGi
Pg9auzaWITnG948zdhcyQSUzeG/zngCyi6QYtHncLUtERGZozdIsWV3e1mXyLq1xGTFY+KzETRXc
xhY7ZdzTdq1LXXlEJ/KRdUa8xkLF+WHFR3l2jTk6i0Zt9U/5rCt7GWp3dngZWmDO+8ObD10LZ8b0
nedmESeBpxNChnG7veAyc4oNwG607iIzKb3XZgZb+s/By1wY5ec0Cuzbugd1krFT+mIYfrLmEVyc
3aisn+M8e5C4oo3DtnZzCBhU579g1YRCUrxViwIRHvjl62oK629joRyw4tN/VRiBoP9qfWuSSlnl
Y+U8jV497awx1m+dpTTUjTh+REF6iHwrPVi5anwyXb/fsD/LDqL5DaRw2Iz19NGbkn3a5GwC4JHo
yWbKcWoBT298GvMsOShj/2fTW5q16uqfCqv96L02ZW6JkvRzUfJyHEL31kCcGJJ7CCYYKdovUV/t
g2qY3kGk/Jz81HnxvdDeRUXBVqGuyWZ35DQy6FHf4+GnjNRThGTmgh1CDhd57zUNYlNmWd2MeoSJ
YBe163JpSiygAn85+/exkkTYHIzdmlWGjeMiNXcVhahgPy+nrmVX6yEfMZNsxpCUSRqd5UwOGYn6
rTO1+kYdFuKXDodNzYvPQ4UtCu5A/bYtteKzQ3Z5tbhtn7Osjl4NA1WxZViAEsJN2vTuup+SLyhw
tMrzUJXazkJNcuXo1vgVeTCXXbc63OmlWsDxpUOk/VQqn6hTKB8dgH6qlcj7Scd1hnR4lrtKZjN7
DFlyPwEZP7I4c++k5YMuPPhBH6+lKQelaV9ZOr5OPOZXdZj9EhE0kUgTNLEcBjcERtJhLLoopEmo
iZKHwiFnqiqmslVUR3+Bm16sUtW2f4abSSv8n5YFzSbqTfdFVfpxa0Q7MyvsB6/3TMjPofIZBe4n
rRucX974XmGm8G7bbrqq+Vt9UkYHTwO3y+8KwxqPOsYVAIy7GyvLs3MUhC5r0mz+DBr2dMHXDCX1
pCJ5Q5O+WmuRfWOEJbSxosx/zH1xaCfy8LzBzqU5kNc2k+FhKlP/a69p6srHQOtTgefZZmI98pCN
YJr0Vn/DK714kEPdV6jAplW9vsbkbEZCdc4AMFzjo9Vp25wC9ab6PV96zegWTenhHls7bKnBS+Eb
3qQrVvv6WlNKOMiel37P1MG4Rf1nfvIjiCCKGT3Ohj0/SUgd0fqz9KDfSVM6qghnUtw7HrRlWB03
9sEywY02RtgjEMZzKOsoMpax+qAO3nTr+RRYY4pU38OX0Mr779EYWRvFcJ3bcKzKh8FEP2oAtPld
Hezz6NvqTZ021c6MfVSpRU3ocgqiFf/YCXL8P2SYRZD5qlF06RbhoovwkJEGySFQ8tsO4ZdtTvEN
f/HKWU8p7Ks5KZfN4e829WYKBQ4on4qk7ipDzfrUFXb8hpoahkSp95R7k/rcIOjKuy9+Qx8nODs9
ouXSdBKNDE2TNtt8ypM3nARJuwHgRw+fwbphfMUip7+XTsciKzYqrG7i8DEH07lSsT76lDfqCPJf
KR4SFmf7adQTzPy09Ab6nXpI+xKt29i2tpo6tU/ZHKr4sWTjW69Sm1anpvyhmPkhHp2JGzBlU1gO
i7hKdq9PWvnNztJxNYaR+SlqlGIzFL3zMFvYQyvDoJ7mGd2tIXDDI/+57hwXLOIhv9iPcWg769Hw
jlVXNQgihs0pyNTmJGfXg+Njxo5KS7VqvB4/CSwd2g22v/mmZ7+l7nvWu5d22akFRctlkARxzc43
9RJkx9Cemjp9CdSSv42vOk9q6NlPPXIGUTawkSHB9zQ7Rn+bWMkvacmhhVkILpNSp4yP86i98430
Ml5RCudpwEoJYO0Y7aFpwD5zy/Gmiatpo1ZqcZOrZv/Zag7JggJtLL04emObb3vBihbRN0Rn8kcn
xhOzHa1p56PAvmLvUHzRRtZ7nQ0WeARn/TlCq34Jz0hf4hCFMsGlqba/gt7vH/pZMXgq1e8uS4Mv
dpeRz2ji/hi0TfGlt7bAMNTPuVEjWAfucCPh2sd71uwdjUydOj0WyfA56VT8Akd3OLlI4m3nsNcO
GVvxz76P+jVpt098vbDoSTyWSdVsfR4cF/NvB9EtKFX25wmalhsUaKarxa0LdBVJAsKND1axM8Go
RQmAwjFX0q2PrO7ryMv+tURR4NGeK3wHCZmhE5909lYraSKcEB/ysAguE6ImQuuRVz8uwQyWcTbJ
wX3jVC2ojPlzFIbjbTzq3F/LIanyVR50xcOwMJfsDpuYEEXF64Cypg7hlOCFrzEfN53d5PbZ4ibO
WkYDbYh0D3VHuYoMhM/yq0Dr5UZaEg/NepPrODS0JkbkRmgP+cYPigGkq424JewFbTul6bAybX3M
EZv3+5OWk3XYoZt20Kx5RI+e2Kz5k3I5lTl+DDRSeuRqcjZQZo4zdjCRO3YPQQYhYVLC4athZdGa
Xzq8CwbNf8g1E6+wpcOJuMkcTQHG1YT9IyT5X6h8DF/drOzWuq8k59otlcc60r9fLrSIZqnZM748
aejOd30OlMmJUTfN5nG+q6mx6Ss5jcv2dYEEHP+I4f1u3ehuAD+UuTBUscnG9S3cWI5ubmRaYPTu
zqtBM4uhnoaVg9Zk4b0oJv0OqZYT3F+8bhc8nhp8jJLQbDUaCTWgjdBdC5bjjbbSmxkElJuWz7Vq
pbeGjkSb62gxpQyreNUUC70XGezkzQHeTrt2wi4pEZfSEafJegTYuFRWOgGqKFWyDY2WZhinT6b5
dBkKQuZ7NA1vqJGUl5+cGXV3Z0YIzy4/WK5QF+XHh7lcUIuyy4eRphyKuP7jA9Vp0ByAYGHdt/xI
udLfP1TndKegDc5z6CUPiE9iF66aLB5IZ4H2ALj4O9412rBGwb/cXTvccKruosJdyTCJp6kaw5Bx
lwwyj8RK1xFnhXXAJoYm+fjsTCnjCVP2nlRpzbKTfFB0kF6wpf49ZlMQVNrbIh/qmwy9mRUAr2Rr
oSZgHrOqHrdhHDr7/0fZmS23jSxp+IkQgbUA3JLgLlGiZMmSbxButxtrYd+ffj6UfKzunhMTMTcI
1gKIpEBUZea/9FSvg7CMk71SP1CHKQ/zoEYA9299uW+gGIpD0L6MBUVEZHMbe2r2ndW0r6Izn2s3
Sv60E4PKflKQXUG/V7LdOftemjwCj2Bfvc4Y+UBVqf8wWgcPMrPrcSklySHwgtknwtRey9R6bNIR
KUrH++qQlXwZEPveC9k0ezOxHmvE0YC9VzjmocD9ViTOI7pT4c/GavZa0U3fRwFi1mRLcTPyOjzM
uZxP6qQ0xGYvN5flLeck5U+GI+8evOb8t5OklYSHcT2pgEX/MCY6ZJH1pN9/yZ3hCQXdbOfvkL6N
nallqG+Y/NZrAHPo12byx4jH+/89Y2YGIgT//RowQvIfiHZ9XAPGSbCIKL8P6/cp1+SjOpjwOh5r
qAFBCTFhJ40MOR976OMHpqVLz35fzZOx9Lf4G2PF112dfvICu+zyVy2XyabQDONnmp9lYVt/OYb3
tXPK8Kuz6DA8bbAJBmW5o6HVw0md7f4+21/P1vXc/H227wGgnUl78PjDaa0X7kYh5YsqAa2xWPmj
EeGXqQYUy6eadO5ZdIxV8UzrU2cXu2O67RTo1XxqEzR0MnMfO2121I0ue/e8FxWyNBMbmLJYgWGz
m72Lv3f/Y7aKY9TsdDTEZmzr9z7qHPvE87S469aDXa7SRL7LnrQtV2KHT8AU8fhgf5flT0baWgdn
KpxDvUaoi1H+cHWe4IM9mC/IyPytZdLKQABTNSLSXWeqVtz0049Ce/YJRR4sy6hefHjGCzHE1yjK
TOwb5vKj2Y95tgMcOB3VKMzxlywfqTWg0vZs9sVhMH3xNbGM+Yz8gtj2eUrechLGdlzfr6LsKLaO
Ouhd0h07w0K4w1jlHitLtB/tT26PWRUtrFx2r07Up6QPc4cEl59CbSnR1nTsZ9Ul5rkENCOrS7rO
0OWAxOg/TwDvHMBnx5vSiRtEMtosqEuEHu1YX+6iMB7gbiBQpO7rTj6PVu58p1y+BB2GWLCH2+HK
DcCKEct3NP1XwAYQXNIWAIUtf9qrlKUJs+qG7vomxZ243H6OerqZ7ARwz4MBp5BIqp8OCMRVb3U/
fqGQ1dwmqWs3zw0fJ7uq3kAZ+IdB05ydmmUSHm0GcLbXFkf5TQ577DLOVqAGReFoJ9316qBdr5jl
GgWAXiMrsjbdm8/F4OWs08kSniuM/D4ONZunYvPZNkrxawSzdCLA2pI7gn/3/Hle0cYeGaHpahZI
DKGlJk5oAjZPAxHQzZdPIUzfJ9WTgx88Fm6ZblVTDSxxBBWoSMyj6lOHotxDv0GKOoNxIr1+3o6y
LqPtgq7RCQlkPH9RaL2pw+hBzxyL+iH1oioiS9SOD6bJ5ks10Z8r9xT7yq1ut05gJQ7sRDOxp01a
+d29OtRl0d8vsz4dIt//U3WF1dLd/22eG6bJpayBVqxz1ZScXM4phQ6RloZ3JlJc0IXLQu+sDt7v
V/8eUdNjMedbdIWgyq8TVZ969TF7TnrrEKHnZUVlcgEEm1zUq//W/H/1+ekAGc110uDzenBCAJcD
JdLkPN6rAymJ8b5cQSUVVVSes97uc9D/PU31zTrGQqvHvZqvzgRPh+CceqmPdXqHms1GzVWnjk70
G1EjI3jmk9UYQANs/S6yljDomxirvASgp2gTvd+4yYBsh2YavFYTyA9GHxPs2hpIRVseFPYi7O4J
bORTomvZzW6fInQDM8Q7dHkKdaFvTBsdw5R1v8L245DMrbXzejd+Q54OlFnjo4VHIvUrtlUtP8y3
JjLSu9Jck5VxlbwNZeqR5irik2qG/XSXa7DKeorAtzEznh3ZydfW/hZaE0XhgrqMaNCWUE0H0yux
CXvtDf0dA/NfprijNz6ADmWyVZ00yhwX1VL9QEzl1cL5RxndJEkdg0lHHk81+8bzgkr3nCMbVYsS
pP7FB4TwWKJqWrp6YMy5d+2HEvEcpM5DKGXtU4NGMekhwHRBgtyTuWpi/Q0GKYWlX25ZM3ztB80B
Nz5GT4seAv7pAMJ40VOR5NEThj4xon/yTzU+rpPqPsv3gwePQs1QA3F69Y1blbovZCyrR88co9dy
elYoNRNzrWurlznZXQqas96Vxxkh7J1q+msiIs4s5wPStl7CFTpoIqB+O9xWysDubeNNy6aP3RMM
r72lzcP3qcX/2UmW8ob9s3YgBJtOiWklD9nvk3Cv+zipnKePkyzSOgU7r3UBUCuGRM/E9GN5Uy0r
H5OgA5ZKPZQ1BXX+4qLbebVRJ6i+okn+dsIMmqDD7yS772350kXpD7kKjjRZOGyF2aX3kd07N1JZ
f1a1OX9D7A7jIA2+3dDa+q2PrZ9qvtkZzTayKG8teOvcag+7QzUQ69j2VFM73RtJVa22CTGIuNC+
jwvP3xvKUGA9FDhg+25PnXH1EvjsV83WKccBWlzRBbgPYLH3zzkJNXnY4CM8DiExml2vJ/GkOf0C
h06e8ce8dK/6ZMu3fhRr3oidcm2gYegNo36SiSavEZarQAzS8EX2gKW9xWt/djobZNv+659nu40d
f5yN0ejfzx66qMGN3pgDlYRBWLy8JujVXsHRmlsNe5hg6AeoJCodU3ex2HWW8aNDeWQ716H7AGEW
YoaE4MGGiZK6FbNOm231xZ+c64ydRj2NpGOx2M5j33hv1hOXbqEQ6Lq/Toz7eXj0U8LWyfPLS4lz
3LZR/JV4jnknkGtHUtCnj72fwk+tff3a97E/5Bv+aKpBHMb8U2Sn404Uuzrx3EchGhhsKW4/n63e
CwCSeI/ZJNsbKg7tjZ7Z6r+2Y1I9lBC9H4gt5MaKmvmN1BwcRjES6K3NPsRmhMz7s5oWllQNS9tG
egz94G2EBA5yguaLI/luY2se71QZxPpnU42iiD7eTVkR7UyrZwWQ9iumUdkL9V52luBDjlmRxl+q
wvqhTAPltLxatflrgqkJ4LqJtdOcqL3V1LIe5+5ZrBqMnz1D/PxB4FPjtNRQa/ThwRpnbeMlLtMF
iaFkiItjvn4Tjj786quSqjiqZvh7nuozE53sVX1Fes97SnqsniuK36qFLDbexFPCEtghsLh1Ru99
CaW8U6Om21YQ403SuZjlgpJj5zzos3FSTbWRVk0cP+ftZ1ONFmL/AT+3LPPRiU2QO/yZi9v0x3ZF
76gu9Sr2G+0io+5IprZbCZk1j+o0PlYsMsdEhNMX3yi/KePiMsfRs/OXL2qCPsYJnFFwX4R5HxNy
I3yvvfHXBHWFeDSzzeo7cve/Z01aHR+JOn9dBhftb8qA9PdlPieoN9LK5ptpyeqZyErsGyxAcYTO
l/CCGiuRmemA1xBsvy6qM5vMfYUZ5ulf/WpQ9X2cptqhZx6wOzUhC0rDuBmyc+6hVmgba2rd98oH
zClNvKT8Ael/tpZvIyn5/xsgZOq+9y9wnu36vuGCybMcYGG6ML1/wsES3S+EMCrnxFq3HGPkWJet
b8ji3BJ9zB8vc/4N1EzWXhKnw6kCR2eYfbS3kXPdGVPtf2njcK2NLCAEdGGT3KMv7oryrp2qYkNF
yv8i8UMhY+icexcR3K3cYJXgfVEzkyW5uAZWRuY6EaXRAm4dQG01iJyGQ2XKs4+qSe1E25GU0nZq
cjIh5uxF3ruLitc2LGfxxREzoUtHll01LYeyFyjHfT3gGKu68JTddGWcY3zHfBxeX1GFL6+qhSFi
vE1MOz33/QwKmVT52Y786TSR2ApiBLSO/QhKyU/LOuArgj3XwUKWDet2uaT+x6gZ+QKcb1+d1OSl
sraGh81CiULBqe+W7mVAZhEWSCUpONP0dczweF85sH3ZvYDPiPbx2CNFt46aeR/uSznWxD00NWu1
so+yKUgNPQGDi0oOWb/03l0P7JXT+0Xo/nn2+0C1EEb41a+mffYRHKIrnRFOeG75sy91jFXXg0jK
6uPVZ59hmI9T4rrHzy4STrgWrAfVhzgMKD6eQSQw/jGgRrU5TOCyJc2ZNIZz+ugLkRvyI4zWFyd7
TmB13Bd5FIKkhzuwt1JcZFXn30Y+2yPUGN8VEfhVzvs8fFzBkqvcm90/GpP5a3QpPQjMePvuzUXq
TzPM6doun1Qj42F3mGN73qqmvk7IRf3DQO73orpU3a10spuzaiGrrgJuWgAsmqL72td1cfxYDlVQ
cYOR7XwQnUzvongcn0hH5adFdja0NZrqkNkm6KLGTU7oBY1PQhDQSbl6yf5nBkR6iNas5TC+6fPX
aUlS/XSmBc/AtcvECO5a45OiWuo6E1Svneum5U71QSclRVw5/l6Wy70LpfleJlX/FGPvcgdd7EW1
Kk8H5oUhHoh4qPiqTx2gh58GiD9X1eqA41/8rPlDzVddCBhXAd/1q5WNFI10r/022H9qY2+9TVq0
4PIhu42ET8HdbsJsqD39JXcnK0B+NA56T35zmlI74x5VHNwym9C/6SskJ+J+ayzGYzKyU9CshWxZ
1+jvg5HcG570nxNU7tHzXr4vGuZoDZhX/si47OAuDsdpamOoWgWGL1N3JoeA1vWUHvUiEveRE6ZY
LQsdVfXBvTa+9VI2sK+8jhDD5034RpufWtTqd/4IRnhs5KEWdnunFffoFMs13PIHZE4N3tEojkae
7jOryo5p7aSHuszh30XzppqXZAPMTNz0EJ87S9emcxEnVCQ947V2p+47omw8Xypbv2KT6QCqidgH
eVV0sN3G2HVTbj9kctlWsxk9qQO0KP20AHLg4v/pA2mZ7ZrKaYBg/qdv9PGSjLU8POHdGH+cG7UW
KYY8f1TTdKBsd1S3Hz5P0mtt5NmDT/jnSRlw661huOlB9c3oDNyFsX8ZbDAaG6ud6zMlUeSuVbtc
kReqrQ5Cw/IlmvHZQ0Mi33wcTewhzgakr3OmDYa+U21zsKuzegXJhKnLOt6qs1Tvr1P1atqEkvqP
WonUIhWlIWqS60H1fTY/+/41L1VrmRr+ePk5/nkJfqzurwXv46WUA1IUxsbBL+k8td2vQxIhuput
h9R14nyj2mpYdapXn32fA1nSQFf+HP73JT7P/jUThcNDbTXTFkHqzRg53k1DMOg5yYcTvLA/gQ8u
D/qAIrQ9RGbQAvLZD4YMn5dcVhuNLM5Px/5ZRROghxFjKZ7iUFqj3j5WflsdoeDYt2GU+N8kXfZn
4R1Ty0h/1nIaYLeH8lnrqvZQGrl9srTcBJKNOocH0Pd7OrvBomOY4PhJT7qmwX4GNZgLJpr5C3ri
Jwc92fc4H5K9FzWg/kZMEziBenGURi9Gzy+zb9M/OuqAL+Ygd64tLcqdefeeLdlu6m3tZWyX+pho
zqab3PEiUF6+ILuJxbe9M2U3n/y8WEuuZDxIVBaBJRr/6JjFKVlS69RHULvAkNWXSlhvK+hBPdjT
Ne/oEQgG4Qur53yQokMrQTOS97ShYMcX+pQm1TFGa+BK2hTZYztHg32ZD0WF3awnl2DWunZXy7Uw
XnXQmQGXHawo0imAgZjmvslOswYF1wUID43Jy3E/TJ+0xuiP9swOJ0xJ9IPBFn8gr3lMV6/ReIrH
uz4Dism6spUaJgDG7P5covRm+5pNDSHd2mP2kkNR+06ItUsjr92Qls6vZRWNV7wwKcmtvqGlp13C
pC9ekTYojwXKHYfFJYQfALL5DXV1L+l/VGASNpPXDDdLo8CXz+m0T0PcmUEcXLPRr++gYRSBDAt7
i0Zxc0HeOX/T5x1PQWO7SG4YlCL8wImB9NdmeWjrqbjkHsVsty4fiBUxX+uifNualh0YlJIeBsP2
gwnVIV9UwdgK69Antn8Vpv4G7g/WWYeISo088SmlXLaNI/NPV0zZGUkBZATsZ4/HGFYdxXlIwVNr
lb5i6qLqVFqWh/pPUpNiqvSj0OTZHmtj24pq4yd5F/hmUQclImlXVyT5WbChS7Gm1bp64+sC3Njk
hV/7GpmfTvruc3pK2FciDECev/HZnDiSdG8C9BOT8cOczi9WXxfPxckZk9vQCSz1ILKiJgo+Jybv
tBdZw1Z+0bxdI9mFzeYDlmTaObRaqjtyAtpXye9SQpdO/ZT0p97c9el0M0UKd+KmoYO/meWc8LjP
+jtT30Zhegp/9inGvC3+QWd1qP0mD2YMM+bSSzfQYbtzXaHqWEsfwn6RHR3N3jd2boqdyOp+Ww3i
XWeCayL+PcbP7IQ6HLun8qwOpp9UH69UU6tEefbXg2riDJ3yGP89+1/DORk6av7jxiKmPDerMwih
3Vx8tNui/CN2/nBrh/sgdrc4UpjnUubmebFjhxCd/W0ev6DmFW4ALH9DPx5zR54igIIxDfPnyV+2
6iWo5xdhxtU+riZ4bamwzu5sjwHyQBP4t1OYJf6mjAcyJCOS/6nUDolDiX3je1yhbKptmvas+g0Y
4tpDeg7N3dmFKOsjBLflGQ/QiMe7lVKmnuRNjDr3t77RzTk7NY0ojO2Uy1dXupgYrO/A83fC16vT
3L3UVTGd/Wicztp6wIE8r2OUVsqhOIfrQa016hW81/jQz6QwNyLSjGAc0TvQ07E/kwTC9mF9NTjD
j6opv6C5Kza1nvEN1OsSS1bOOcysCFhFNNzmY7hfkuyKWKF2bla7F3UIE4iEWm6T9s/Q82jnk5Pw
wdT/z7DrVwc07w6vkuI8zktxZgPUa/lwbs3CPtkOAA9hSGI0l2reYPXFztZ7+I8ICZ1LX36zytbZ
FXo6U8zAwXSf1sVrZPjNmV/ptVy/WHvSLiLFuqefD5nruwf1wWK0CLZFJcF/4L96TupuOTsdHHHS
56gFeNWZfEV9Zi/vHdw0YUNS6OdsdY6QTdV/fE2/LsTXpF7lRT18vMpQeDt1FnFfCHEPOL4pt1Hp
gSHVm2XfCudmlRKVjMhHNlOL27M6eHrdnvsshqPUpGArIWlsqrLcRF3XnmUSfkPf/dbU4AGrqO62
6P8EoNAuXtNv9NC7GM50jhL5lNag0CxwIKchas51QVrecJ33RmjhfToNy7ZLi1uZygkdY+MPdCKR
N2zHi6Rci/5jhBCOKDzYHshJCSAJmd491VkbBUKwI8JKu90nCMlto8yl8lrb0OfBTQJefJ3NUO4h
daaB4bvNLnJQodWSMSLys4NIq/jB2fm+CL3vmUYC3BHd81xWUzBVkccpfrhtTDPeYBGd72Mie7HY
43PsUl2d5gEU+poAW4urmSOwSHShk4Orw/nI7XDxSN3NvDLCOsfcGYil7iHIgrYirAr4UaEj7TXO
ESyyvm/9js2Bg9tz7McsEvIG6BNXHH0cYExPzhEC0oMfBVgHR7Bb+E0YYTEdYBhb/OnJRCeCz5PG
C/nOydhEPPGxCjP5lD17GbJMMnzMswhBptzXDlGSP06p0x090d2JEO/QLK5OKWvWOQmTQy/Tjq9y
cLcixDQpxzxggwC/3DVLiVe3qeFuoEXXLJG4xDeNvuPZKnYY0QHzcvNXnGD0nUghF6VajY75FIlb
guXy6JtYVCKyssu86FXafYthc7OJ3G66stg98BtqLkWM2Zw73K3L6sbt/Xcd7YsgoaSzLTysURt2
3YGnu1QrDePb4EkIo10TnwFub51GzBihtbBShyTbuX3XB35UX5s4ORWxBULAtx+whIIsVPo2LJvc
3HotUPI+bw/8PlEka8ubWVYwFJp2xz9rOQpPOodcDLtpNFtYMHazoYjETS0xXI0T/q9aism6xS1n
WqeF5OGeYOK67v7v2tWsO5+n8mRYA6HBoFOrZDeeLTPQ/Z6FnsrGdqwQM3Hgx19yPfkrnXsJVn/l
Sg9o0pGXxUbExktBhzAMVBeXo4zFzx8fomx2N462wG8F/X6X94/tgpi/XvH5uzn706nqYmd4mnWv
Ofh8kYH5y7dT2PJ580IwdVlaE7U+pw13o6c/pGmC7p6/HEzNv7fzuNxmRuefHQPIe2XAHM1Sb5+h
Y3jt/PspMiKU4+Lk2S2mkPAnd46eNrgBOSQHyk/3mNoeKh7EZ6bA3tZI0DeM10S2H4b3uTCQ3iVF
dq3rRntYHBTygfaaZT2ftbxfDrZWfStL7IJxXG4ex/GlzHPUW0f85djwGTv2UeO2aZw7kcfOEQlL
dJ2M5sc0s11JSI1cWI2uae7Ux3l6QCjD2TjdWB8ax00vItcpj8f3rj+0lASzu2aovId4QmfWarr0
0I0gkixy8Js0zNz7etF56i+9CBCeMBD2Z0c1DtILIl+a2663qo0BAG4/Vf4GVQT3CcaRAUq+DAZf
uuvC7Wz7DBPsekBxPaqxriG1hagVmD2IVwgM9c76ptJrPBSPFFxQFonCdmeYaDxlPveJFJQmtSyJ
KPW5Ao2XM+oIfHy0g5fai7faYlPbjykumx5pOcMegqXyX+fMZIlG8uEQLdUeQ5xvJnSvIMTLmfUD
VGhZJflDOYE1BA+9jfSp4+8VwPwLp8JtGzgCYj/ZdiR1s51HdzqP0ng0o77ZS5bnB+kXsCocGEMs
AvFjFJUv2NjcIXBx7UkvX9GKmrEToNBXjfvQG/yb7QyHfGb9qWVt7YSOYWpTJ/Jh1mZr40/9+nnY
iha1mPeNXj4D/G93nlX3Qan137NCdnvhYXyaSBAXVoSbRxYjCmHZOPhKIif+EQT74aKPYJVKVC4q
/KXbEa5h5r0spa198VPtEZz0xURH8p7Ux7A39ZQASLTj1Yi7vZdVxiVeW32XjFchrfGqa5FzFugu
j1nBjCQG7cwTYpvD+FykBkHJN69JvJhXCXstaCEYb1WTh/Z5mtMWmWHcqY1lqd8iG3x1V9XtW1WN
46a3+v5tanmXvrCGN3K6A8DJaHqLWLM38BhhQxKRbBKv19+MYu6BO1Dc9JesB9A6WG9tL7rNekO/
2dhQYDjSuG/ApdoNkiHeG9sPop8qdIKpM5A8tMnNVKD934h3uKOazviatgugV8uOv67CoRsrlMNr
FceofGaj99IkGsBO7I6avn4RRTJtO71zvsR9YW2dKaq+JJKn8iyom7l+WByntoXzOwrnCQocEaBt
RyAw7s0UaLDRgNB2DGBlS+OaD74Y631kwgaFjYgEd9LM936a2Ic07+a70m3Go40h3IUse33q3NY4
98Dy0fLBTMwDPAC/yguP2pzjiCHS/DiPtXXuAFPupBR42zvuCR6hG6CsylvSeSyORYu/aqITxib9
LZ/1Qxm18hGEdnPsEIFY+R8ObOviS5Nh45Iu1dcySpoAkJC+LTHkzAv7IhL7Di8BgyjI+DG01iuo
3b8KgfkuWsNsgutTxv4BELAMpho2xUQg3sf8wJd4/HUYMu1c8F4wAPf8gMrpnePH06Fx51c0SsbA
CcX63JvsfTJ2w67KZX0hOsEuGnqF4RrTsUBSYDuh/LHxLNzkZ4y+tu4aSqSONZ7sUT7Z/rvn6uZL
oc0/44HI3OZ+jbVjr0XpQ5MXBBO++xZCT9xUjtO/eBHMrxDowGFo6n0akdLVGhPYuWYRjLfddUhG
bx/5hblxxYxREvnbwbyTJtUQtL919jHZmwF+PKh9eXJ8cuvWwAM1kXG8l4gFIcKTPM2U2zdGHr9W
bgvxYGONC3ib/lwlmnGMteTGwhWMdjptjblDXlZv/kJszRBNCTak+4uE7Mhq3oFy05Nkg/Gqc5aL
MeyWoi9wXWwuselmhzI03uh9nDKUN7AsenY07S53sWSuwE9qbAI/qjbjGjXm5QsJAEJKRGBICHqk
QIt9M+TJwbTfzVJae56PX+oBz09TpuN9zw1P2REbYaQJD27fZBdpAVQdK9xWUzG+THktDlEYdohV
D9/0tiSlgBftImKefVM43CekBkTYorEB63VHlf5dOh18IKt/icI5AeGxyRd4fn0Tkh9JWJm0qtqV
nYHrqcvCX/c/MyrmOzCoVDtKEX9pvX2dYxdT6oOPoHVBqGZflwpbUVsk5zT2l8eSnbRIhx+aieiA
4WVo0YT9xhDuszT/mFySZtTC2XFO/fvNjXPvTx9OWopsKUhWiBNFdA5bI4PoNOHiNy7+DRUXce7M
+WczF9YhG9cvJPGah9lF32PbJiQ9UfJ6iPzE3I/F0p5b3EkAzSFwNa65Alm3I6kiUhQSl/VMTM2D
burc4IlP3FHNhBxFhQ8ggOr+xEZ4OMxqWI00kJ5wampT5quOjwv8bUxdxZT62U7kfBDuX1kdNqeh
16ibNN5Wh4ZytvCyRI8bappR6eKIJPa2gp2+rRBzMuJUHKx5l1HEeopDcc1RDdomXQ+Mq0CNaqL8
+AJ1FVXsAc4S/tpjBzVcywoelqCFyN8ctEK4P6KU2j+mRCwE5RKIpSSHH6KtmyDsppOE2mStRZxf
jZcq7oJ+6B8pr1XYyHdwUA0ApsLqb/0iLeAhlQ2RrNvF0SmOsoYwF5+oObPrjQ7VdGfLDMtjMEEI
J8RPZc56lVdXDTew2RfdsbIdCwWOJgzCMP6CTau/Nd1zNwzGS59/0UHlBFkaNde+HH/a1HwxhK3T
Y63HlM8M1rcFaBOOBjuomta2nIA5aNp8DX1UR6umfUnChspc+Fc4FsUXPRy+E9/1SA62+zkKVw07
fotVlV0F4s0nbLGirS/Ebgj1d+Jw1O5kv+x6NyTYbb1v+APlx0VDzdpKB0pHVrhsZO1GG8S2ua+a
18wWEfFT+7MZEZx30+WLU2X7rHiry9j+HtbdvWhqBGxRupLz10jKcoPKIGY2c/mERn6/dxP3yZry
r2WB72PSvmeT8RL23c8iZ5/aR9/1ZP7LS5qCHYXfUzmIIupyiX7BK+jBd5JTW/cHXfTLd4RzEWbE
0svMBzyP6k3ZkUrRCqPeG7XV7VKngIef/Nnhq0DhquzuxwE9GqnnKWDBGvUef9wZSdsGmnmmjiAz
vNmkE/7Vrtgsx4VIgNCb/jj0ZN64cxMX+7McDCo6X3CQ2X0MQDb8xXWJrcNvejdiOOzM3qaXy7ec
LwaDSeKR/rGsLX8/ySp+DCfbATF3LX0RJATOb247nRwxhhsb4twBxbMXzZPJw0ojPaShxhLV+UfS
0T7+rdF3zZXvpW5FpyIMy6eoyX6g8DJtPAN3S9PSLn+4PCDYPrjlOaLUt0GMEwM1f8i33sQD/siu
OztlmX0dPXZeJSm1bYlJDSmFAnCsbvGTQBa2tqoiSLRR8vgnoErA3+wXUi6Bbtpof5f2dFWvrI50
qwsjTR9LeCVhM0DhaZIbjoWnqK3coxBC25ZppV2tko/qojDtIETNLZxb1zqZnXvKUsWGDZL26s8A
5pw8W9b9kvZqLTp09UjkR9Np40ctLVOIprFAmMzPjQdg0S15FZ+0dpQuzU7MHX8Jc8LuGSQB6n15
f9dFITWebOmQtihBIv0SvseAvsyG+F4feArbS57feamAwgOVdVu6S3gPZz/oRIzKVT2mP3WIYuzW
Y3J/BmJDeBskNoTC1Vo5nilIkb/QUJlNnY0C6zSRbC5zBptJMZpL36svPVr2G4Xs0VMS1Z+T1ahq
sqHcOimGDzmJ3LUwPCA2HjUySPR43Msp9B+EUf46jCF6B6BWPrtNy8DmZQE5hjW18nD8NbXRsLpM
Z2graCSixNeblArJFPKAhI8O32F+axHgpLTmPcwNvMRmRhZi7VazhMcWAkeEj1keYdbD0jrek+kM
96pbsId0fSp/GRw5zF+aG7s9EFEjik55ll3YfRJ3uo2Oej4oWTUIGL29qa51BukiNMNVc72GlZkn
KPsxS7XjPqqDKX/W2BA8oDHIGqLzPwExkJw/J0jXSoOFsGvHlguQip170yGejAghh/UUCqs4CyAy
oU4pqqUKRJpRSBLpG7uq+bnq5uask3b5EHMywvsGHcNvbjy3+xplsZPhRDOuUMM9997yPZ71kbSQ
bt8XRts9uN3obtQAJJI3r2rv+wlAx+yjI5u3GfVJAM4HzU+/DoMfH5ZUp0g0gZgMi7h4tZLmTdl9
pAkovsUe3ku8jgMYxP1dHn7lwQcfB1WBrRA9jMwUD2vKAd0+z233qkYjPETvnby9z8ywx/8UAv/B
8HW07Fd9BhuRzysoni+DLgINeOZTvSKnSkTrVEvxCtbW3GTmk2Ig/J75C2MlAhuXzyDtrAf05AxS
F7F5+RCuXZwOPwhpGZfZNIrjr851/F9it+kkktPqIKI8B0HrisuHJyEOBu2BFPqzGoB/WJJjhC11
+bAoLJcEOviHJV89eu7dhzKe4RbbuG2syy+hsP80UahDVVu4+7Y5uq7nP4Zoku4tczG2/tpUB2hq
2Xku/4ez89pyW8fW9RNxDOZwqyyVUgVX8A2HwzJzznz68wGqtrxW996nz7mBiQlAVSVLJDDnH7K/
7qEgQpgLkvgSJQ5TQamFuXh5rZ26zABr/mvl2Kjhws07a08l3b+qZP6vs0umDke5EoFg5smBZBpc
zsKkYb7FBiSQMszGxySL9NMw9+0qI4O60sM6vmjCIl5ejZGB+KU7VYt/DEz2nB8TK93I+HCzihdr
G87gVQ6cSL4Ium14z/vCJD5Xg4j0GlPujWKr7aqEP7LouvEvqTmZj7O1Lt2+2Upw7zjp46KCgXOS
o1XoL21H6V+KuVEf3S4+Y0JdvCXk+w9BXwOMAbHLKc6b1gX8/E01IGgp7QzanNRpZCns+YS7AdKw
eFSaVnSSXd6fo96p3aPsTTwe7eFVS3vtsQI2IoNNWxenuEFLQDoqcCAa9kYTBqtujNXXcMp7knxU
2EzX/qF7CBJnTV/xHwp+BaGp7CUJpwz8DPp/eok8/hAa70UBXlfOVd2ZbFIXuRs51zKyz6W9kEGW
Szlafi7te+u2NB6L7MVpLZsSsuNsbnPJmkCErylCiqJx5XQY1vpBcvHc8VKInldG2sucrdGYjG6d
LFe/cItKz3KIplkWEEP2crHeAamahlZdy9EoD5MDnEZlEXYw8QJShBfHaM5DNaTvWaaFwH9bly9E
0B6BM9braR77t5JPmoukx8+/T7Vd/XNqr7rVP6YOU3fWynOV7KKwBD7XBdUVHJ0NXKj4qQqVZmue
Aozq02k/dBDBul8ZPiMfZY/8Vc6eZiUnycU+tnFXOK72FfPVPxbDM532clrNOdRCHfm+Wr6mDgN8
IVdbNRm7vkqUpT8CUmsUBEG0yPeubqh0y8GnvlzN+tYWnuejbpy9uYg+atQdBLemuajYayxwi6SO
InSK1X4gOTIP+lJ2p0yJniyMf2SP+4j13CfDiOT9DI87UCjhxk46vybpBcpZc7E9o9qZgZrCWtXR
dJNBaCawuhDJXRjo494mTrWJWcPQ8gyH5LgIujw61oOXvShDqq7buFXWsps3GnzlABSMHo/ZC2I0
7rML/UF05ASzJEtHve845U1zsFS0t2HdzO9twMa7qU39IB/QNhTnpm3feJJUAPFa/apyus+1WTkD
2De+xH38ytNKgblLT4xhU6WcI5xs9hUWgasgsfC+tvy/qnn+0EfNZ2tv+GT3e5MnWKoepmYOt7hR
mE/WhDxvqnTND4ObjJY317KRJk3xeDWdVcBdN1nk+iocKE1SaCZdm90ulF5ESkoh/zZHxaxgU7Ye
Gu7OoO76htR7I1hu2MGoO7Uqs9Xk5eXD7UeZtt1zQ/lVGySJpCr5bAbfYc0FJxnKXYpCpEvA+Ikv
sm6r2mFM7RkWNgsEgekJtR7sh0IhE9h+jTRBi8+a/OglbXBtshSt9CJsvo+di5BKmL4WVuduKbBb
W7v1ytc8y0/kNJvvjQMMIDcV99KkdXVsOSCvKtPrHvIeKoAkyiCa3+8aLX3qu4wMuVP+Gqx8V+h1
9UslX/b3CzFHRkYuBge6uIJJzdXBk2qVIRm4L8QGjNLfqiqRwGtVagoJELGF/BhMfWyv4iHs9rL7
92nQzz6njc27HnlvQ2sN4VrFeZs0/4wq2DiQK1E4AQvVBInil1dOGzgrU1ORnEHSYUX1oN4jFelh
Z5Trj/+44tf7jBn5UD64GApfAyXYzJy7nhrhGCl6DWaxT1BLdOjlOm5KuLFilIexJ/ZspvPCpsdC
kBCETSHYF2E9HbMQ3I0hnJda11d2UlZb03G2i5SErHY/g1HpINueSAltpMJ2pKL8nyiqkZxyNUQc
WzqttvDLts3EfQflB5hPedlGgCzA9AHXaNWdMowcdUKXEvsI3vyIcFS8oCxtl9N0bqH5AH/jSjac
a8aNXaI2Yv6O3UfHBk6jypFsK2MlPmi3FzDG3j4Z0RHTOh1lkgFViCiInrK5nB5anKyrlmxxPVCs
Bu/cL6SDZyn8Pdsgtw7Aa2B5NP5ZNjdnT6WMz7U5T4f7XHmlzvO4msTTXnaBMnm7zikQFy1c/zE3
mo02cADsRC+i4n3GZIVCID3ZQFgp94ZNIuweA1uVI2tII1fJAZeUzULNswpNEtYi/ZBenD5fu0NB
jqs3Lvy66tOMzNa+LXsKmGGhZsum6zhz1YOy74tKe0pNZH4Q5Nm1cjSEIb7OdAUHE46x2VK8XqKH
/SUBvp0qOM32nXMEU3tRxtmBt5BjYKsp8IKTCBCC6MqBEVMqFvrx2ko7/GqV0Pfw6YBtH2AMSBHT
9JErMcejnO2J17IfUw64t5eM8shYwppINlBElaJ1zoPZ862xkv+5x94H8AK5FPnsiJQpOhYFfh3b
RHHCVVMgmtGwJ1w5I0oNKweRGuqKmAlkul/dmhEna56y/cM9PlAB6FdlKYxoPKPgrWFyW0wUNO7r
fLN2tmWmf72H5NXtZeK1bW7Cug6urf7X/XwmI9gX3o5nXRME1yz7leZInC7nHAFbyw6wdQO9obRr
XUPrxwoHZSW1cFFP3JNz9HfYeMzk7XU8jZK22jTmhEGp6CaRj+h2pFXnUtODt8ndIH5rvBmwZo7W
6NTbqUXUQ0p38cB+ud0IbkZygTW25yx1v+DJbWOZaYfPlmVN+z4djUUlzA1BHPDdJ1u10swgep5J
Xa/iYMi2keD2RrUZXdHuXUeSzGsLrRZYSZ+jRhXHV59PqJybpqje9J7R/cFwBG7Vb7QAkoZkODaC
5iivZCPv7XX2kWE9vlbIdR9GzdBPbeoq8KwQ0syy8KvkLbVgddin9T+SoSczEPn2U0zebItE3EPb
xP4q4O7+bCIUuR8DoGqJoECPgunWGsscmOCzjJDHz5c2p999NqP8UQTGKwk9XLrH77ExIo7K33dq
csR8aor1lOWm7EfKvtAJpj8m9O2snMyAapFaT+1Tg+4ErlwmedMg6JN9du6gI19m1+TwCArhR0JC
Ge5H+BVVxXJNzql/gEwRrpQRay4fsSB2J1r9HLKp33mzTWl30uwvU2c9lfOYHN2WM7j04NWdrhfK
YupWuvTK5j8NyFhmobJIhdzeuLmHvqahtotQncQxma6MySvZKMIBPg1MFaB5zt2eYtZrLPDojv0v
Q6pE1ZZKGUVX6WI19l17iBzQXHKGjDkVejWWgJUrjv8RmMb01e/Tc92Ew4sSZNEDrLVxBeFw/hpW
+S3uCoBI0iifcZf5rZhvi3gm4jHqqfvMaZGy8IJ4AQjMOZeJUr+a6RukGeMtHCILhQAEWZ1UgR+q
97jLoc63tURXHb1HtQzy+ZWch73CkA86mrR7QUj4GXMUL0U7qCZz3nYwFPegaTyAMcrYBlR1XfsI
KW4mq1ciWGvp3wpcA5/qJnP+iLeZeotHKuuHHly6ndtIGHveEjV49cNVMGsUu2t9aME6BsPXzKgQ
h9GL4Wp2ar+b7FrZYWGJzYBj8dMNVGISO24uILzsQ+ZaZ6S2BzwxRmRLDYQPZIzCGxtooylRulCT
CJ5aqfw0+GS1L47RWk/6wCat69obuxRghvowqUq8lMfTNPPrTT13Ju8V51BKfyjP5Wl2lF0nczea
VXsnzCGfNb6Lx6b04pV0IkTSgZ0TJdk8oaSEgCKFpmIIvqiF8+gmVfRd1Ud7oTqjddHSIvpkioVh
Pu0CvTXWHIKQ4XZwDViqqVku0IRR9prqxk+yqb2jpRrAp+oieeo8v3ywtf67HJIhy2lFqQPKiTTL
C3WEc/A2CrnDjNlVxqT/HqSa75pWuXBPkFzxEoR4o3Eim4HKynByKUWUKl5Wt9hcwBUIo+hQqPCe
g0SzHu9Xc1a6q3AsrceALexqRk/5EE/ZOdKsDNEUb1yXuhOvIGfn11hPPhsPSkCpBPZZxoUk7VL3
ah/BLnakUZxoj1OPaEGYGtXGNz3jzRPAeHHHuc9Ig/FzhlHU5ltSFLcZOkWWRdGoD32Wg7aWjHH7
j5aT9LDRvCwBytypR2S+G0cla+Xj1TgbU7APuv6jni3jjLKmeY7zkgG83f5COqbbVVFr7Ehk/IU+
TH9qMGRpbUMp1qmi9EuXUxRqBVitZMKWpdVibaFlaB/GNYwxxzCuOPKZV100k49dSlzyWG4jtK/R
KwI40+k1jAzmySZqK3+TuyZiMGKFjPnKaMJczw+p6QODRI6C46VPqnfrCu1Bsk/8thiELrJJ9Y8y
JvUIpWxh2YztmtT0tJQxHV18M7PN6nvSt9/cCB8NJeL9SIfpPUA7DIGvzF/JrkLFmmSUyb3dChGo
nZXi0OjYG9YIwy0hOOBd0zS4REc+DojS0oeCBUWBqnd3t+F6nBYRUnwZ/Gy41Lq3lnsEJe6bx3vs
nrUtxLymF7BSmbadR6FgIfr3vYVc15e1u2pVzb3Ke5fmKWdrmp2TKe5khTeYcClLvk/ybjZZ4UWO
yrlhWJq71m/RnQWmAD6FAmzp1cfQhAssm0x0ExB4S4Qwh9V9YLSz5jZF68d53XeoAwz60CGNNa07
36sfw0ShhHC7ZYZVRO24sQyg0AElT6/MX+bCsDdwKJ2VIc7jlBWq01Q3H504yDeiyap5YTVNiYIf
80NNM6AD2ttY7xTYO+D+Q4QJrvOcfl7JWCxio4jFg1VsRiCIP6oGTHDjjeHBEg7DGAdVRwDoHxme
xs+O1Z4HS8XTbhi4Z+JBNp1UCg39oAR81HwQoLCKN5U42ms4ryK1Eo4bKQp770pRWCj+znoaqWt6
LXyLHrNSqhP9YyeUhjlNIbaEyM5KdmO44s9IBlDpSBFYE1T5Ty9FE9SF16Zzh4cXXyoLzNuKQpV2
lA9i+Ui2DZNh6v5/sfV0FuTZvkXa7F4qJUy+AHC6iSNYdomtyIQhgicc9ToKf2tL0ah2Cq0EjJdv
i1qt+39aNAW59tDX4g+sEHyRe8sAKNFedqXwqzImn105Gk5/6yaVS3pBrE10BWRUEL9mtVmtShfN
xExwtO0C3+6onl9VxXLgJ4E7UcYo25jaHOwzhdOlVxr1UzGSoNE8lFdNPNC+FxwxecTguFPCCVVM
ZPOs4smb2Bl4YsCDvKrUCqgKkvIzes9nNdTe5W9Y9LN6dmZI5FAUvqAH/s8xnBrfw3rEASVyKGZa
DdWXElKiWeZQ9eVmfggDQO5zr+6lBpec0+Ox9x9jrijkyClhb7fbfgDniJV9pKHGnFUXchzuRRrY
y6skIomdx2Dz/jGAp+KpQ5zk4R4vQJo9mFO8y9DMkLlUmUG1jOaA4i5lBZG2jROQZah8DzuZqI11
t9uB4zGWcsGkdNolm4zDnCflAUXvYamlCfLodhDuLaW1nnNf1/acW9CXo+D8XBS29YzSaalmFdJA
RHhuf48B7gXoEnyP7CWoxOxHOCAQqka5d6LAnZ7SeKhWTk4dpZWf/1bnPdYH8oBlFZ2obCLbRU9u
ZWW8TdRbXIZG+XX9e0xOk6t+v4acO4Csur0QMjprcDhX0LUgd6P8x8AxfDFabU3hcwge+GzO68xU
qg8xo3eNyy0nVmvtGlbaeJJNVNTjKRCN7JL73sYW8PMRDOjCBESOCOKhbDIQKUJZrxf3Qx+UXDhM
V7Mpm5v3LRE3c6ZrK4blRCJG5W4RZyBNDM2JHVIH8u+Wf1HL0tg50DIXMj0jszCyGS0fqk7cHfzJ
e9OGKXwoTRJ6eeSd788T3UlXPsXxs3x8yCaCJpVazWdITv298HZcFd1Gbw6tXgNMy5TxOtbVdNWb
AnogmIqNjNmDNl2hHUC/SVqOc2LerWzrgKzBdFM96/X3ccI7IgrZsFeq9oUKTXHgXBWtZQ5KxLUu
/4wnThqtYVjPX/8+X8YzdvlXMHLxIgnVY5uG5vMY9NpJmcDNy6y3rZgo9HlOekQATv+isrG8Jc1r
atiI3YwbmQWfK/JeSqoiNgycsq1QPFv1zQGwVni+9axW5AVtNMUVsRfCpP3pdqtu1PYLqsfqI5KZ
OCvdr8iEI2xerUd8aMhITsNyHjX1PUrzDy3W4192/6F2qYB4AJPL09j4NuggONLRsl+arlBWRe/5
Z0UBqzfOXiyQBgb11KACm94DJHFhuv7ij0k4rxV2cmrmGahar1mvoRf7G2wsIMXLrpokK69zm70c
NQcHreXM1U9VWVivAvteZrX31Luh/tJjlSIXgVTNLllgfZVr4D/NB7Xsu6UFb+PshWg1Opl/5ihb
rfoBf6xG9wHMy6DaouAeJ/VF9mSDlh9pNLHCNcaHKu6Vwz1u4kdMQRqcRA1W3gI2vsEs1btUEW6S
8ioIjUU0cei7x63WcHa4AcULGQMe6l000cgXqdyaWkYQXUlPTxXbQIE9UdJ0d5caztSHZHLVh9HV
qi16/u917SLUNQ1mfYyVFEpFr3T1sQu823AyUJRcyZgZQ9jdBKA5VtPUl8iHrAZdNQ+d4pOIjHs1
ebhdpuJy6L3kQV7JxhqANC9v/WCc+QaLSbco7gS4SpsHf7b5dWfvoRK1ffkMAQYXN070+O+R2yOn
/NVHU/x4c19nsuzJp8r/ZblCsX4XJS0GDU0dXrwUQdp4pnIru7WihSQVGYBEUx5iE1yOOVvBjrLI
AvPo8pTPA55ft7VF0gAa0uftfZkcSFV0Ke0wW2KgNAJEV8erbIyQ7POAQlQr7hP3uNUFe4ofzjFQ
BOIjCFCIvC+Vk+VSJ05e5apJ3Irk1e+lDhUcJNQSdCLlUrfVpn3BN45tnWeQElccqgZxvL91Fa24
+EVETZxBq9XMJ35zBKU8NaDIWppPhWhwTehKdulylgt0DgeEUF/KMTkLBN8zFAH3KHsqGvQPqt4B
YRSr5arEmn5lMCRJPZj7Qcrs1Q7cvBYZIymfREoyfUY/So7JCGYV0ID+f+an/eDDsI3GnQNgZ20P
g7XRhdiN7bsTpJbyz+59VE6Wo6qY7IrJ99H7Wq3O2SK5OnikyrA21tzqX/6x9t69/9wwACld6c42
FtnqKlU5A7bYX8t0tDM5+aZtoVoWgzllQPP9Y+M17skVcgpmbFmHBMHthSGT1aVXxUvkd6bdgPru
o+l8N4w832kuFSmpGKlNX9E4Ut67JPgzHIXfuixX3u+zpRplEH77x2wZHvtvMC/822wzdI01GoZ8
ooXOc+wWb3B0nqrSE+pEUfUlgB8gw3aX6CdkX6tF25XlG9hwZzv5XoP1UFe8KVloL2+vkX11ajzd
TEStYqQ0+LS3JkwLqzXjM3YdOEYMmvXFnNm1InZf/GWlz1LlM9f0L30Q1u9VlJDvLofkqpCB3dUk
hPfO79Xa79V2OeZ/ueNznhbmL7E6RozsPQ5IM86lk1wzaGu7ocf/V64ONGiOfls+a9aAX44fgmF0
/PHD0TBhMnX1rwbWHrda9PJHTKNmrfZ+cif7qqAb+t6OGB0NKkCfwaKI0ZDoOmtmrmxRQfcOrQkm
y4mNeYudZ3tROWatmjZJX5LpzQNmtoi1Nv6JisAC0KvyzYmUYCWynue8180H1TW7dVKGxbvptg9u
4wM3xKwKjarxBUmbclvhfgd7GTuRGDQBUMgk3tvArKnZleFDnGBHIpBOqRY5VzDB+nU8RF4Kamny
WsJ6+RI6c/FwiyHL2y/nhi+LHL2tNNE1KQbEQxK5rhphF9kBepZY1CqR+TXwtF/yIjXM2wWYlF+a
qhpfxcV/PUcsn8Wqv73Ovy//PUedsnVvhMGT5Ts96mrhuxYPnJnRqHxpOGUh4R0/yZ6dwBKKHTs/
mHqcv5BBZtsAXWzl+mN/AnCerIwEiyZhElK4fffsO5A0xR0hpmz3/HuMYvNtTGLx5JjGOtn7vQ75
DfApY1Q8WFmFGapPCgk0hfnFnpuzPJTNpR8uS5wlLgnllVOBTNkyQIvwu4r6CLmZ5hXJssUs2Idp
MYK3KEi+xuIK9OznlYzJUTkP2YP/ZfT+KiR1IC+FU7ufII2jyaF99J5DwlSP6p0ZDdpHYzxWsdq+
h6Fi7v2JnyxnVVP3hjtjRF5C789BCg1RxincNKhY1vpRxyPvBbfmh8HDSzxNa+3JG7DZs4uuuVp6
rSA7mKtYG6jlR1BqqILg79QUvbJGpndee11Z72SNmXrHfqhJtPa4ClyqvspupegQaN1tmqxYi2ls
s43n2cY+p0bw5DZt9hCHTtxsqSqhIWCYxbZA6/l/vvrf57mppj7gbrp0GqPYksv471+pUTFsDBEp
QjawuTT4iiwb1NY2RdtgrZXCUFw0E34WEmIRhFm/lX+/HrZXpVeqJ0youyviit9dzW2PRkWd01Ab
7QhX97ss8MgiToChaqgZUAZFzacUzFYDhMlGlnsQb+wWIWCrLVQFoJqmmm9kmU2iVeUV6OviDM3H
xg+j+3NU+lPKeVpjrqcedWFhpeVpFlljxUrGk+w7CjkAFZ7YJnUKEqL4V+1S0wtOsimwaj+RKlmq
gYcize/4QIJ7pxk1lY2oOc5iM1rJfWkR73pFsx9kSDZa2/ctZodqsHKKdkTeB6gpJm31s6nxnpHG
QG+v0sur1oUt9JLa+a5AfukV3/7ZT896rj/J9xX2MLkxL55ub3NkaReOc91T0QMpgizwo9Kxwczt
TtDAwEt7m3sNvol14UOk/ZKFd1m0V2H96wtfrZNlZRdgZst/FfHvc3Luk/lUeEdZqsfIr1n5amJv
Lb//oneO8TrXtb4G4+g8BCW3oiFqDArruvIODO2hz6Psm+YiHVrC3EHmMVtahdVc3CFyppf2xaow
RAeiDsDVtNVg2yA5upSSgVI8UMbSKh+X/RRuoPl3R3WaC+uU9BUkUlneQRUByhsngp0xZzVbeg+z
bNEMft1dZvNHNsLRv8XRRX3N9dGFR1+Yt1mq2HUaBZCye6xpY3dXUOwuql9S807VBz7uRmKFuzBs
SpiUCOQZopHDciAScHIVjtWyRCpzK329mk7XdroB/H0SSFMZK72ex2OkUaaRUFXwx9cMb+qjnBJh
2XYZHKRDxAIchYCeSyAR6nTt5Xa8n+Z6EuTHeH6ton3dJl6DI3My7ecmX+My1CPZOHNQabVjBini
WCPOfJxSuKRa573gmDVsYTOOzULG5BRbwiuy2o92Y+c8TzJJoyuOfnCNCdkPoWTtWYlxsOzhgk11
c6l0rHBiLUEmZjk62KvKd0K8Yz5CszfRQBmS75WIexXiY/fQ7/n/jEegF23SwUs8MXjX/b6Zz4kv
qHb8Er974ncYRyVe4AM0oAYFFEe7yoxNHFGfHUMKGTbF+n/1qAI066gQ2Xm2LBfbRo9A6TJ8oUQ3
y9L2AWDJw+0vV/0JwkXo76VmN+Zo1xtsIdP7k8zBdBqcgJBU2C6XWUTPN6kRtE6/+wQMiPFWA+Mk
8zP8VyGl39ehsAZCni1sIVrKyzGek5Vr9CD5xIhT9sVJXt0bGQN4rHqk0cQkFc7z5vNL3oTehwze
XhNFFdStXTwMZPAfLye7nvgRKibjIQlTTNr/9VOnrqr3EfSHaKthoDvFmnoYbH3U98KgYp0XOpXu
a472FfnY3/8OPAhEf/r89/e4i/4b4jj8PvqOVLV7Q6r3GSjJKMu91Q2ITlLA2fWB1pDlYI8nJyK7
75281lzf4OyBGAiA4EyUPU54OLPz82ZTSClrGF+hrrvEBdNeAanRh2+2nn6NdGfYdHrbP7Rj0j/A
1qww+q6yEnpQiWvMMGvo4KIfLK/ujeJTWLWdaXcP/adpMgYAqAcXNsU3JJJEEumFz60dgOxSdu9N
nk8tz4ZofQ9J6BLKDf45bQqoMHWMFBT4pS4w7T2SFqAcfP4XYhPTerOCUGdPPl7Hekv9rvV+YW9N
niWc63DtZoq6yroRkyKk61RjtC+9mrZPs4Ejs5rPyUIOypiXmJBXXBcDeDGlmtR3PKxc6tOz1w03
jKoe+GvLh2ZjGWqO8xC6BTIN14WAyTJUwk+5gTNg4JbHcBgqEmMKGGUDNzs/mPyFZTvWVj6QAxSh
d9WcvN0f1Pfn8d8H7/FqqDc+ha9DDznzxhAxEG076XhlfPJHSKmd5KgqjrSkuf8c7UT3vlaOomH0
PAdl+03HIgP6JJxzuf1i903aLJieRgXxyiCKf8YTRrV1P4wPwcjR4dgPcXK2cBNcslPcewX2n2rj
QyyNxo9OwG9d3THwPYQAETR+u1Pjdr5ivjWTPg3Vr2KRP/QPmkYGWuZXB9+ZT2OowDIWWZDfqdnQ
Tb+PPkpJMiSbIBZb6WzG1MYoh3PiDauoxF+VCuUnLWWgrGJZ+I3IvcGoK5hANG5xNpzmNk3+lcEQ
B0gFz/82TSlH7VwJwKWPLqUzPspHTjxi8D1F/k/Zk01CynXdlUIRWZhVyliNy+rCUfXs8Ol4aa5L
E/sYH4r6LZUs/4g4zN+yONMPocwOZQgsrWeXBPb974wjQzkWJqp/4i0x68lb+YrjruQzHAbcBYgE
5oN85W8P7NyDXuSSf93IGfKpXZhRuAOFY9we8zI2aGwKawQe7zsCvXVLtBE1nepzrSXztkeu5Aw+
g3pW2oNtiYFlJVPvbdPK/Us+GLp+2tWU2R9k77YPaOPxj5jcBsD+rJeDyaHisYZYCAFiYZi1i6fQ
YO8nmycaz9r+zS0adPABBPynGXjY9W8QV/6Y0TRCR9RqUeoSO5ooVtxjoal7I0rY0sg/M5/jXZOi
wX3/M8sMnJLXAem8x+DGhFvL8bGDEVufhGfdfnZjeMNK+30Y8vqLPpFhh2lOOaRr6gu1WzB+WD+Q
RZsW8LPGn1Pj8gmzW9hNGLiSfnPtHW/p+NjyH3abIhwz1dz7IV960HVRdHDhJhh2sCiS6D3TEXTE
y6491HwhD3YVNBsHB1Gk+bL+pQ/78SHDk2tRxXP/UqO9/TQHWKAWkd8u/bQ9Nlo7XRor8SDnq9PK
Nvm0BbGZPtZw3A6dBjglj9UKpmW7k3UiZOg/Z7RiRvPfzUi6rELHoPvjNby5bNcqTnFLMBfJ1tXi
dJnbcFwAy/r1RYk/usmBEZdM0GL9MDZ3t9EONvXKrJJNphek8VrTeFNQCl3GgR0ddS8130yKT9lU
dF8moOkXsmk/5KwiKL2tZXQs4k/gT5secEhkS1cE+AjIS7tX+NjjzQTHRXgLoJ2x6SPBTRdi42qh
eKsuKBF+Ed07flmqkKea5SFwlZjL+0DdAXG2SJqtfMfLVt4AQxgT+71jDR6AblAkkJ3zgH0jZjiQ
lIUgCGY4WC4iOZibXwyt6/doZKBy7wTl25CDvCmmdNqFeVe+qTG4OC0y1LMcDS3om/PwCm/RvfSm
/d65ET41mB8s1AqfUFsJvW+Wrx9MK8NLNRs+Ji9NfzXa/I7JnPU+t1HHztNsn0IOMBuAtOHJzTV7
7+aquov6YYBCYqQrFZZBjM/lRrpoSZMsPc25q4oY2gfsEfOg+ewPoqYnJ8qYjd3EbZ2M+faAnoSu
dxsJlWhTMCl6a7GRdlz/OEezf5wqPVhBp1WWCEXYPafdTDnK4UxHTRzp0eWkul9RgnMu96a26mRl
D1i4yJjbcbICvxAeMYbXHu7zUDGfH/K4RWyO9Wlqh4vCd+dGX/oxqiSB2senzi7XFVmZC6JH1kVe
DUOdbDnFukJk7jPmlXp/qGPr5xRZSx0J6S9kM3ARmSMTvSpvfO8mJFLN3lL3phBm91ARRPjr+RO8
IyrFsn4sC8tGrG/5KgRX2bO0SF3hFeNtZFG5HkGMZ0r8S5aksXD8RnXMOWmikVdqq777mdfuQvJ/
7ZYTerhTG+975LSfM1q1mjZIdXH29Jphl3CEZMM4QLKwi4lq9qBtIzCZp1sXbXnytkVRr+ScHD2H
q123OOtkWGfnvsMTGIG6MbSzj3zKLAQP5vGhTgb7tRxR0Uya7AMS7bSbB8R8TB1DDcpP4wK6TrOb
DZZOTQBpExnS+tYnU8nHyNeNZ9PXPibT0l/HfP7iNDqW6338wBcw+EgSX18lgENO1pg6D7Of61Rv
UNlSPcP08CC1KwUs2dhVqzHEkrlojUOX1wYgLGi9R24TyTroDMreco6p1/YR5syw5VY4QxNQkUPS
zQiid/HCvvEze3HPV5ByTtD3Ayx99NWXyUI5zInXKGz1ezvle7SdHTUCKZFgW2MWzukWhA6BqThz
NgkUoUVZdcNJmngMfEVNo34DdhCdk47MuQyXKsQxrXf6jezKRaHW1EurH92lPDzlTqW43mLk/2RD
tq3bz6n2nHKLf05r3pjCRA5FAHS/2pXxPOEO+Ue8Ec/pv8+fOQmv0t67xSfUiuJ8qyc+5H55yk3F
GTj/3aD+LY6+soW5AeEFs40N/DTkdu3+Swdl5eCjObaSP0pr/f3gzMMXFCqrP+JifkhNRGCnm1Ne
c2g3fPPRctzwuTSnvbyzt6YHda5zAI1Sw39DP7rnzMkpwy7T5PETZIVWPCgizUrhZuEg00YAqhXT
QU0nbShoDYBlb5g/OSwbO80tgPKZXn33S8ffV2gfrJwsG7aeEDiYQ3zKp9oCF5o48KdKN31M8Jds
jQ7qnwilWkWRjL2PnK+i1azX5SElUXD85zNG9hFm00gA1aht+kq8UfVGWQ5RrZ/RD0VyUYtJS1sG
ABOlG3bQabF1HmvrObXa8cl3+VbRmSHOHxJV/5E7ZnCKuqJZTjUOg7J7bxKK/yfZxd8WTQ+wjVuU
nQaIAi7vhMXRfFNRSdpTk3lzxijli1LFW1vA5nIlzK+q53CQERjgQtG/d3anoosP5EOCRO9NnbYg
Nmrn2z0krzDIGU9ob4wn20hRMTTN2wyUQJ5D08bPrcz2rdZMHyOsuBXQYvfUdD3HTA01/ShXs1ff
VN8xkbN/UrGisBEedaV50wylearGuqW0GPwqgjh9kKECS7dLO+abWUyQIdvy1U2cKNkqDzsDybqh
WQdjmeAqYQVLiYctZxXXuXiy93hUNccIkQN3YeQ/FcTCtVpzHjl6OPv/w9p5NTfOY2n4F7GKOdwq
ywrO6bthtTsw58xfvw9Bt+X29M7sVO0NiwAOKFmWSOCcNxSB1WzGvsKXMc4PArkOnKxZmFNxAAk3
7rCef47SCpKopz2WsopoHi2Niv3cQt7pu+Yj1dO7A4JbAvBTsZtd9HJ48H1VvRsCYL52qk64YtBq
qGHuSwS0ABbTDPomWCmxHVyJH8A0yRgM1Cp0G73hzge4NzpmdmBDdZwdgsl68U59/4gsT3LdiAxf
p2yQipx07fj0xCekWu6w1Byp314+ViPvgSjb443oQuzHu/Ii5A6HKixI3YLRSXEeATltFOtusPJX
qRpfHUmrb/1SUa8tngQL0Y92Ivrgrl9f1aGZvlTtyery4tWyH1oVj2s/joaXWOOtS5BETtB93Ufk
seZ+Iyr0PTUGNBpCa9VncnlOe/CxT+K24iFOIdAPUpBZbNOQvwAFIXoEMiJUFGczDqG//DKQ5igs
taVc7sSA6rjezjVc/UpFX633ikdRvzHipT/QEPtiRtC7LB6RpBzPigLcZcp8m/qt4tn4VPHTy7ad
hktJpRTKTVUU8aSmm/wssXpIPP2XLHWPJt+8lx69FWQn1fjGQatpV2u6tscjIDx3MbYvmHRI132K
JpWBMsaJwmp1zLvike0hoqyS7rursSqNdYst3p04KGQVzCg0T0nakIKwXX9nB4YanUByKFs9sW+h
a8jX4hsZxuYtXz+ZXCvfwWlMtIC8OXejMq69LtmUBnf+wZKwHO5ZWypRal6lqENtVN1PHyEt/ejc
xPwxhXZ6lSwzPzKLNwx+on1LKuycKeGTUeTe3ML1NTuL/n4aNEr/yaVeuBf9ETBiZWFGP0pNfy6d
wSIVw0HjGQqLcjrtAC0OnsznzANUDNpx24wAnORipeKZusrQqtnMcKSZhmdF5RNu6sUqcFgCiX+k
VQ+fm5dRUdDTsONbtr13VNOIP/ePbxAq3doK8C6qQX8OpGp+bh2vPFz6q9QuD9M1nKHMNsWIqV3b
GNqpnw5JmUsom4YULGI4JJ/65pjKSnbeIL2KAXGIxAxxiixEukxDK183Zft+wWCLOTmoIF8zxjer
MfSdOykc+W2FwuT0cwx8C3MoR4a1Utn+o+wPW9FP+p6iFR5eG9FEqesqTKPyAQ+C+CSml5b3NAsI
OLl3kjvVt14H37l3gCjleC8fIjfPDmzRPaSLbBmgb9sARWClHoBeZbwmfZAvxOmn9jzh05hjy+pC
0/Jsh6SmfW1J9Y34XkZ+Y18DebtRMGE89mGXIN6HmF2S5Pmp6lN2QmW5tAvDeMBZs7rNrRGFcCga
Q+HJVyYptaVmy/mziyLwusbiYSsmNb/UBnDBeBAY5lB1jJsiggzptpR4m8G4+Rjz3MycW1yBHYni
n7sc6mhdStEV8ukaiQflChS4gc5t792FSXKOBQ+tsMa95gJVdpqxurELlB30EU+7FwnN0wpFwbM7
Gv1NaCYtt3D/VdKj4UZ0zf1Rs63YEp58CmpzP39quOJuTz4IAZDTXKPxu/RKad0dxl7SizFG8TpM
w+zoIIh6QqE+X+kUm78ZOgK5fgKUoIY352i8U3Yj9o7HobLVDAnXiMRGWU1Xgx+2Le1YXbn7eRlU
W5qzZjHnXtWpf18PqP+t1Rb1JU2v892nrWpAbrbXD2PNxugq71WYoEZqHLUQMWpFDs/iFkWNLjzK
2fAsblGiK5MVSFDkWuc7mWKGxalrqmMZqjsSbNprPQYNiavKO9uZUx6YjcEOhMcnzA9fxUbgI7QA
PYuKevAeWrmut+m1yH9Ca/4S6rSFdRy16KdYEWFQ7c3LIkuXzrDwrd1lpSSWS4OpQE8ZItj1H4yV
XHooPDe6FhwWwVopLa1cW4OTgdKF15KnylmSantXuiqQOcsrkGrGkGntVxa4ubyT2iukj/4ZOv6r
vt+094Orhvc28MHEbAEZ+O399GxdxmNgb0XTiWScBQfvm2iJOVVWPQ3hEJ7EJCdxa8TmknBFOVPG
PmaU1+SlvVM9wnEha4F751RyFQcxIM5I2/lHM0lgdA3OsHCNUP3Rrr1pnaWHBaJ/rWbf5jocVtsB
RDXKWNLFMcsivUvjdVSCUsdV6AGGkPf9jxPMPHzRw05jPrHzwno24mSbN3izc7cxbiO7Bh6I1/q6
c2v/rYTH29Q4KBjU/Q2WFFeqgbhqo/c/xbiYaKKPtcwrNb5GqHdvsTa8s7yuuVcm6VTx+x95FubY
wiwks8qem3GCfDWIFYjRLEbe1KwTbgB9EDxmsr6uU/BIkPBgnvnbssUjV+tq51X1524ZGdatHMXv
3USPkotRm6t0yKA9VtOdg71C80BDKCCIRqCjpAlLog1VMSL46L8bnlsiTYlX0e3MMzeaDCCdCSEH
m9R/7BjBhYgdztlSuZUBAASki9bmg13VvxBIHr4ZiksGpn+uMFPajVQPT1kHWn070NfwOIpInj8M
YJNgTPrZSaDURBPd5uwkUGpjibiYGGVvqm6aMEpWuoF9U6fKzcHCU/Y+CaWbgteUHoKymZtKZPX/
iLDMeZNHMDBjjsbslHzlX/VKhVd5CIIWq0W1CXd+KSPe6Nb9ztSV/raDDyR2FOIQO5GxUgsj35QT
vxbh6IEs73tEqcPATaeI1BxylBrZh/hW8YDec3qr6WiTVFpQnVhvhQ+mjdTwJBaCw4q+qZq43lYj
WBLfNDY2qx6IKm1zDJMS+brWrNAamhLKmaqcwbD595HOHsB1keeajXiHSlp5JaYwYjSYRj2JUeHh
G2u2dz9W3noszOhmMKt0H7nkvJ+o1Ec7P0YsRpNxK5ghqRlif9QsaFuCtiTayKf+bo+tvmpGVJrh
gtsAIOHiermE1mmCspNoCgikgd0RPgP3oidxcgQtp/hwijcUbCEu8SLErv8aryVptAh87EDLycK1
tTR1JaXVSMLCGdrNjKHOoi4gLTrVeJVAOo5xOhxxCxT721R24l1OZWsZTNtdrbZSeBnWUeyAxZ7X
SkdcSYr4RsQbmAWyYNHNnYm07YGC8isCSxOGWC4ewgIvWycDQYtEY4UH4xCV61RWxqVZsZab34Ka
mCM0DFYpIsOIjhOMOQQAuOOtPLbwyHkp5a2NCMm5ja0J2sb7ltxgbopBESYipMRYlTClt6VWwt2f
FpZ9iSGFk+jaOggccjMf60txxq8oPbiODpeddee85JynDdVejUaTCl8VID/Gp1kPHrThseo3Ooro
lLPp+3TIOlTAUqeaQy4DQ4/C1YLvv3bUY/3NTah1i5pIZnj1DINoAgXx/mlA1PytFMIoHE46LTfo
5mhRLRHDzlQ8FQOOgsnWz8yOC5yOsby5RgFE33YG1AfxD6ux1z2HWXAD38VC3dLKNygJGvO/TgLZ
uUz8Id93Ue/dDD4mIt0w/PBlCZn1aQ0foOivrdQ0Qaz5OQjBSr2BSRxgWrDJ9/mCrEKZIvKXPMDM
IhXDFTXFefiSHBDRRTLKSxuZsXl7MPhSeWh5bIqX/bRjwJWFFUGA+I14K7a+wDolxFYeUWA7LaSN
biIsh67qtMW2+u/gntjsYu6pGHCUvcJ8QnHGW/dxFe47RAjX4aS7IyBZcWx7JzC3q67IUWAQTUkq
VyIiBuxv28mkHRvoZ3HoivZXSvpid+mSwUadvcEP91ArX0R/mihwCMxyMvT1TnaR+CdxhrjXuNYT
hKMufWJAV41gmef5sIlTLzmoQfty+U5XCbJ1CMG9BNMPIUCnHJKq4GRDmOHXK7X2AWXLiHp6RhHI
RXu3Zzf/00RcPOvdn4EBJU/u7Oix01JjrWZadZQVoKKV7ozYrKMJoGgDgha2Gc6YMQfZqNMYlk8C
UCZgZC7uaUmKmgdE2X4RN7m5Se8RwPfB+mbNddIFb7oeTEt1P96jlNGuRLMGqbNKvdzeiablSj8s
ewiuRSu9Hx0DL0KRFhlbhKFqE2GeRFMxP5t0k8Ys09CXu9G0LiqXxaSdlChtcCWUlSgjpsvGVzfy
BB0TbAXBaBBn86EwcNGWggfRfwmTVLdca2lRQvDKqjOe9uu5kPGlGXvlrtOdZNkmlXfPDSVcUjIY
/kE67zRUfgXptfMXFrCpn6PW/4r5aTxjnJ5BdJUCCjy1tUXctL7SIkfHPw2nNDWXko3ZlT/jJnXi
vZmQOo2M8lurDn33bQQYj0IU7MgJXcEy8v1waWbBQKJYtFN3wFWEHcbf4kSf2qxRUPBO4j5lTjcr
KOcqN8DcXogb0+UGJkZF03M8dY0ZxHvIZaAyUA9R9GuvGLK1C1V2hRJtOnOexVkYXEuBlV9furkN
fQ6VRuJ/hzZGXHwKrePgBgzoGVPU4TZqJXnT2UZ6lMZuuPLl2uW5jSVCU2fqihJv+9i2XbMYWZG9
1dziZ3KRaygLzUxzFG777zb+cs9lV+jLprRxCyApiKdDYS598AVvEsIccUcSsgR8uHGD1t2rmarf
sSlmTz1FwGf6jkp+dx85ebN33BEBaLXRXhqd2sgUMIQwTvHoyM/o4Kkny+ReBpxcOtrcNE/ShAu6
HJr6tamG5HjpEWefQmF1rfAd65eXPrJUK4ua4E1QVvmmcQCrGGY63rd4O944aHQCZx7vO9ka7vPK
aNl5Kv2VaJq55O9V1jagAv26WGrtk6J25Z0Y1Ke9SB+T7RZNVm3c4EbjbQ51a3Q6JfhHYrC0WJPV
iXcA0It5JQmvMxJeCDsHYY0+MP7VcFNJek+tUQk4TCHh2DW7MYp+iP75IGZhmJMtxzHSWVXJ6VUG
ZmphZmwBbdVprht+kSsYNu0zYtagkDzjVxwtDUlOf6FCjniMOz45jq6SCCr1MzA9fN1DuV3P6a+R
dGTqrqLJycrpChthdtC2oeMMLxTkEY3HmfMQNsHwYofrZIoaLCzX56ipWydT8meUFBTS52t9RI0t
Ut7iWr9fsQz8lZvAc5SGlZ0gnTv2oX7XZGG4RS8ZysHUHAEL3bUw1XGEHU9B29KyBozVFDNf4FkD
W1zCwxwPXFXde9Ow73XtWWnrKzF/npFVmPjAsdvEKFkyY1h1LR44M4+6z0C95C2mOVHfk8MPyfdM
0u8Zlu5iCQx0H30alLjFcDwN+67/PkzGBxblNNseMLoJ1eK2xcpVQeiuhlbZUZL8UgsA73swzdrY
f3m0X2oB2Iwc8lQ19mK9IMKKUOquehR1/la2iBTtZmxNeVfiBtYtRAiwF1wUxIb9Y1gMqGGWYfMx
VUTEKEKV8+SBhPDvGfiuosTOzhyt2ugweuh0z6einU+d4qx5xXVSuhLnuuTHc68ppcRfosTwlxjR
9KQWclscvSaJU85/WtemP7UQVXDqg+/ph7/9yVOWQo7bdJ4k/pBLvkJM6JIUHWhrQAky9yZ3JtkG
leBl+yZQ/QOAqPcD9hyMIvvg+ZtLb2kXCr61U+gcIIYmxZjEwvBTy41tNQGhls2YPsl6ZoLSrq3b
IQo4uKiNs1icGwHf29A2ruZwt/fSPTLVaNpP8eF0kCuN1FUdqCsxQwx4npQurell2kJqd24uTcY5
4BYmxwO1OlhpjUWM3bpIQ9taDcZn6k3MyMOpRXLWX0cMEQ/JghpQt3KjKr+uI60AExIm30tK/2mY
q/90QK7WY5jY0BEonTpAi/eZpi4K2QlvsTTVABlhL7V5X99L3TfkC6JnN2rzfTtZmAiJGxmfecvr
k0VBmWOTdpYLpqZMrJ06xFdj3lILVWxjPQQR7nM9tmZ5ib1dZpp8YS2x8KsbvomdjewDD3RtMZmI
TIkEFq4RJpHQsskdhK7K6qxYi9yBGKFxGfkd9nsOHEBSIFGqUb5qJ25o3S8EdlfQqYsBvmgXIETu
6hM8o/+IEcOCiW2q6b/MQ4IE63CtundJ6T2YnvWiDmXy3Rky9N6L6iFpqV+AoXK2WZV5CyMDsUfd
K7gCo4cdXD3Yz0Nq8NwhR5Cij7GwTaO7/c8RjZE8VmVYY3HZVNezhk8Pf6ltQYXYig+IWUj/TH2I
6krHL3Hy1Jdi1L715YrNPej9Tark3tGX+uzIotpat1EpPWgaPBLsz92fBk7eivZT621UOpVCfoin
OYM/eke0eLKj2+kWUGnXfYAt8T6nOX6ZI17H6fCcDO3gSeEGfwKjqqzR78DgcyoCNL1DEQDdXI1c
J+2xS3/6fcTebGq5CIwMCzGPzXx6HDLMYz5iRf8corvdGRXQvWO3O0VpzB+RarxmCAGhuan4m6qQ
i0OjdT7eAKA0qNXqr1NokY7jwo2TX1TmnArnZauttyi7Dmue1thNKCjpcFcs78PS+JYqtv+W4y6/
6Holv8Vqtzt4qDOuRDouUG4oDRj/hJX2GoStDm5JGXayi7BMMD0UcT3LSWPgpIBEU/iQOuQPpbDa
e7KlQ0ml/MYTCyn4SrGKlekXLEXNQX+qG7DQIL9RJsw8dBXjIUFcEdxhtIpUsuZjIKH/y0DdGNFx
cmxbjnZuHHxFv680N7jroPtdk8bHvQUV/9fOx7CncIdmL5pm/uqq5Mm8IkUTPUZqkjuK/+p3JDVt
Q6tOQWhrD/jkbEU/GnXcByOHTfR0selFbFBQC0TTzV2Zte5BHEw7dhGF1t+bxRDC8GlUzLU+QkpQ
G8HK7vtFxztfD7nb3FfcOq7qHic50VRHtWUhh1eMF0lnMCvtvZLlCRZ0mOmIQeyCSMoZ5lIMiklR
q3pYiknZ3tUbdjB60fNVGjHIs1rrTiq6aA+9wt/6RVQ9mSVbkCKtHltb7a6qyb1u0i/Mp4NtusEV
N4yYR4Vt3oqBVJbAiDvoWSiuWoVLfxIpRPTF387txFZ+RFljXblCznCah3jzUq9D+VpcBcUz9dyF
2aaTmmzTQpO9wk3qRx1EyXccB558N0sf9bZQtrXJnSMMR/e+1LK/BRR90uzSlsykYkWbWMcWFprf
z8B1wU86YCH11oXJH2tvQQf2vfEC9bGrsGH1Er4QIc+tbV6nKtIffXhEXh2uiNZVtyNkc8BqqvqM
TsoPxAq6cz5VfMT92G+btRY6zawnagwd6gldcxv2j2jqB1j9qBnI6th+bk1zL/4omCjshGPkkNsU
ZxFWZ+lRnlAINuykTPa1G9FKC8PZ24GJOP40CJijvkOgoV/2uS9vL32YBX6dZWhqtRATRJjRm/gB
sX75X2e1KSUdCMHVBCelgHyZMben1yiH5sDdwj0CjvTvu8wZN4YDY0buYhaMeF7xY7L46rEfABES
yhufXAoL2AkS0jNKJs+7rZR1R0Ly2WjZd/hyh1NS4xx9G1GrdlKSGmOZopgWRzhacoPQCNNiv/8U
JvpFWJMg+UD1dngpAMiKME+J3q/Wf1zNmq4mmlNYDt58MQIvPrk6e/hYVCB5YDybFIw2vYWIFng8
tgKSP9nw2t61gn3Bo6vGS9FvRG11GBAUWkY+q/y6HpSVOuTZXoz2/DEFapV35tDrt6bbA4vhYmpI
3RXSl7cWzXykHi7ZpXsQTa/9hWdtAX6FN+R6xipXLXNRhqgxj14SvqCmhrSDXj4NCKudEeWukQos
gpeyR7w2bbNhi5xE8KLa0asi6e2NldrUi/JoL7prpRj2SY+Ti5hUeD1cwtztD2L0z2vLYcaSfXrN
KjE+XxuZ/dfGqtubqM66v11bnd5BO048xY9rN+mL3JFj07TjaGk+Ci0cZLl+P9Ny7iOWJgkRM/+c
9CmejSIQEQx3FWsRwn5TNAKrjIjZvR1X+6BpbmHeBmddqRtlJabACVpIna8fO70wdgi5PgWofiLz
KcWUD5FLauXSwFuoztOdlOXs/t1aWYkYwzHsk3psMGJPDppiv+KZhdzDNF0coo8zfTTjFZmXNNH7
TTpJL/k2a5fW8m8tvVNu9Vi6Z/eMLpJfIZOQ45IkIJ3U1r5EickiSkbdHh1US1/G3LOu7KL8kXZG
+G06yX+f6KQKRI84Gf3mhzhRfp9Mwf9VzH96CXFB0KUnPlOWiBJaWFKXDzsWAP1Llva7OK2DhyaZ
KlBKkC9EvwhzNYQGTBZPLzxcdr4bhw/g1P4lzJmuJsLktvkUVrQSmyYfWenL1T5edBhQq+//vJrt
yPVavKhBmWuVS9gX+wFGZNEAv0EUskTT0GvpKMpcMbeXeVTILVxGhZDDIJn/r3PF2xAvJK5MXVw6
Xl738iYvrytGu4+3MQR1u4VXaC0jwwYz4TgnI+z0a1ky9WtxFlZ4obiR3mPUMg20TWAtCkeVF+lY
91sRqIrOqixWsVlWp8vk/+tFp1fzsli/vly4TiOMbMVrflx47vtvLirmxwDr5nf76aIKSGLZ8j+/
W19DccDTpPkjmGO//vkfn4u4qG3K/Va88cvf/O8u/On1U9dM1lqzEgL4rR89N3koY1uI/J5k46FL
ttPfiiZkOAAfSYlzZTfJ8eW1e5sH1EcmJT4Rkan+p+nYff7LdLtIP0+vzGwpLvYxHQeScZGHlXzy
GpKY5gRyjrRvyTgE36mSso1FkRrNSBs6IQaO29xto3uPsvNfQiOzeg/tTfg4InRQip9R1y11K4gf
tUzX1/EI9QMvVvsA8A/4KW51D+OUeyvLoWNHsqi52f/M0IOiJ0m2NcujhTKVNcbpoOWtu1Q7HXOx
qQ5ilC3cOdQAdZxe70WY6Lc8A5sdSaVk2mLX0qDKehBnl4OGBwI1R/s95DLwJVg0XVvLl4kFFpAq
cHeK3BLGg+e8oTBcIYzyuxkC587Ar1r4/bXSuM6oKKAhEoMYCtJhsoPsrlg8GvcuSmJA5XDg1icx
NwQk4zuS8pCRf6GRGD5AAa4fSulJbLtFI5eexIY8Q6X2z5Fo+BT2dY5AA/D9+9c5YqGp61r1IFfP
4tJm6tkbR7LQvR+e/puJf31P+IOpS7/HyVOWm2wpnk4YFkhLZP31K/EMQ8yTBVn7DAwtOTr2wLdz
Yiv4uf45SlFOcGrbZ7Yv71HyWL7F9ZiCgpMDBCx7Ze/IrnEfdu4LBSX/rZGBbI1aZ6N0Cpl9GBHv
E+K3Yfazl+3sn36aCB9T2VeIH9zbvv0ixkGyfJ4YegV6ONMV2/SXmNiBgt0E2lM1Gu1VFbmYmaOt
BG5GgVhl8Mjs3SfxDZYC50ede9ETJYJirdpddGK3hEXnX+YU/ZOwpviY005zaj+NTn2RJQer1saN
mu0qXVI3LDoK3IRs49AmrT7JJyDnXvIb86mqvcYyUi5QULyFUy7yPHOn79NLjp7ACzbz+rKVm+RW
G8NoO0b4IGvJJL4KlhflcXl01qM++UL2fXRdWb1CEbwLv+f6XiC5pCAOl0HYDzcs+519g67sJsHe
6dHMnRcRoRjqdaaB1Mybb1I6aDfRxHQbcwzZsAKgeEtL9Gd+hjHByGM1l2uW6RI+kxs9VtylGBYH
U9ao3ifSbSlCwvC5NzH2BhQRnrQqM/dF68k7Sh3D2XD0eG1bYfVQDdji+KD2viE8dMrKaX8WsY/X
dflXng1PVhuFr8OglMsYZP+dp/HfrBMbs5KmLTfity0OqZn3CM3yU7eyNyNI62OOAtteZgGx8EhK
1PfDgOq/cy21pPLekCfNUKmfeLxC1zYMm22g2OPBEkxf1PDyjdWEEj6Yo36mrKyg1Bp4h7AEHDk0
9WPpAZGMLLXfhSia3Wu28hOBjOzGi6JhmantEmor5b0/zzJ9QAHIixo8Y6ezP0dZLtLHJvJ99M+4
TK64Pdn4pU6zvsb6zArF/D+v+fUV/7c4Lz8mlicXbwCsY4guunzH0xyRvarrUTemaRpJc91n+NzH
2IEu3WJs1wFr6nVXRbTxSttWbAKvRXBXeGh2ySQWyyJS7hDqSrYaQqvrnBoLwojfSO456yzS2r2f
+PmjOhonGDbVN8OOEJhHtupkwke8we+pWYiBOOFmO/Rmc5vii3rMTazPxZUkK9+DAq/QI8+NXV3o
7aaKLe0fXV/VBSA+NGOKbW/yzIHE90gGFgmFuPghIPGpr1jbLDHGtWCMmJXnT/u7+Cjw89OkCsRU
5lPVQzZqZDU2n3l5CT86pK8XfR5Y1k+jkVVRt7EVcHZqv5ZLuwLyA24dR4L9OLomngEUsWEjozhT
ucU93mQY4xQ/UzMyvyuedCqKijt8ofMTazVQCgMQ1zB2WEp4Mp5S4aHXclAgruks8YMsz8bogdkn
gbVuTK14zXV/myah9X1UJSgTVj7eWSOqxeyjlG2olMUDXt4/jTF0byw/QeY4hNWhqsZb5ZXknZ3S
fnA9NV53RZWfVdmL96otefvO7Bt2pmawNlI1eDRyDRtZPpLv0uhi19lR0Z6uVMXp+C7+HmDAgapa
FS1VrTVJVPX+OfMHdDD13vxmsPW1uWU+USVvdsbYY4foVdaLTzlK3znJSUBvuz7XHhzzJNSCRQMY
mxgZEVSbRj6FJScB0O3fR/6Yo0LGhCHGHTHq0UbJjWZNqUV9Ja2+EuyMriz8ZYGF581/jhiDLD2A
rC/9GuGoBf6wmIWkGEZ7WGV2fCYIYmxsLv0ywIXYRB28JiXVa6CMST9HxEV3kAs/fy4ws9+QYmtY
sfXKnaRJ8XtEZt7WaW4/Yj/ebKOarKlS6u697aXf5xdpxtfaH7sHhWLurgKkuEUY3VoaE3sQkN9N
oln+nWfF1W2tdQ/UbvMXWUFKjOQET9OpqcDXW3Rp5JwT2zceShK8oj9TC2vfSUoNg8TIX1AtoITE
Gu0oRp2XDD2/l0YBDFLIuMT7tpO9NIaQq6v7vZgDnWyjdlLxwDYxv5ZsNIWxtU4eM6XXIU1myGbf
8hRdZ3hY4n/K2ah2nPmp+akvjCrs2HOk4i6FOnyv81WSDdwqPkpjovAlmmaf+cemeVCgJh0LdSSJ
lyYPTZ9DWJm6ADPX1F2m00vIpSnObAkn6wZe2+rLQCxnHdrqmGxjdAsvJC3y/oCIdX+oIq8/GDZs
w7kzKJNloaj2XgxcQsSMOU6MWGLKZfwSDnLURtLB61afri1OnThyFiguDqugUIwDNxXjIM4uh0tf
5IePJG6pIxplWi7+FnLpqyr3d0xtePO8oe9/1PA3X0osuQp8Df/J4kS+zvXbUOrB1+Savk+Rwpxh
WmOTYEAfJfiDAfG6lHLFmeibIkxQV0dRzxX94vDuHfB79DLwtWzs3LyzNg1Xi/fkhLRZ6R6XSyx5
alteXfoa+EOQ3qVv6ocgvhislI3TS9GsrC964AtF3JCrej+2k4AwmdtNZaNiDU2qjbeUtIrF3A4G
PzsrVpmd+48R0Qcb3VNwKVSzs5gT6thPzp0+LN912KCxjrvMtVs1/ottdeFarpG66Jumw40tgjwM
hunZcI0bgVqH73uNgNJ7aB11OHP4JLQtOKJ/CS0VyVyy14U368YVwPOuujZ8w1haIW7xF6HnWd+Z
lBe5AgYuwV8GxAXiLByXVTtEiOiDVhQ4nw5o2HLswN3CDQSZKDovcEVDrfql6RUAKf8CcBR9lytc
rirgQp019Af2iCs9j5tt2gM8VWwzvYPnk95F0G7xb5NMnmVJdmdHbXpXjm+V6Tk3olF0jnFVJFha
WIaKvL5KcR3ovG+vu7yRoiWV/Hsz0bqjuFwAuPMMHW4jWuICl1eNgbuvixbS+UXBX0j7X5pONmH8
HD1cXqT9xWiFCmWSuM2V75QObFvBWC9b4zveG/G+9jRz4aSxshHavg32LrPmr+FV+hZZpXxxEf0V
Z3NcczLkLppDL9062NYF5SnxsOsBqS6jQcFIezI2E02nrKu9eEjq3fg+emkGU3CVysbeUqeln1ti
geL3P8E9vcVaHb0EiaUshzHRbx2lnnCrpAPc0q6vVBcvYB+rQTSpTB1ftCZ/xOWwW4xDn70NJQab
CkziRV5SNogD/HwElL0FFmBV7UM85s1abRKkRCqvBbRO8QGaPjWqaVSBB3fTSCU/XQbnCSTFG7ca
5ulK4XUUKGFyJr6f3KgSXJoiLVByNntofBnOlmXq7sDljEvRBB6nnFRDeRWtRs2b+9omk0GkFynK
Q6a16BnL6vUcHQGfTd12uAqmQbXxi3VZ9fo6oCIgJBQMXBKWuVWXV6KJJcStJjveLUZByWNojTzH
0F0o2nA8NRmVk74bs+c0LIytM/rtuuX5cdS68lfqA6ESBy2z632fsG1sURm49McfEaJPjCJciq2m
7Lrrciy4L33MEANfmpdpgOhIzsPoX32JEyGXF7JMkDeLpFdeXagA28t7ubz45aLiUnOzAl2SVsh0
T2/537+EMf21DUw2JE0b/OxAg1RSaT4kQ2ouG21Qdm0lGSRW5HKjYn+zlmGvPniBpO5T7gVL0YSr
b58k1XwRLdwZzbuolRdiZj1Nlz1Q9J5d3IoAyXVBLOnmcAxGA/3AnE+jkIbyBGR9jWEfRotD4t80
0yECcLUadV9ZiaYYECHq2G50G6zeZYKvQL2m1Aq5bbrIfOiRQSvrtMYEJUx3ok9cKfv9gqrlr9vZ
xaCP6iMiU8FyLpc6NmZsVJX69dzOHZ5CrKud3aV+WsnKEUQ4gmZTNZXMQnKLjMAcn0rozRWhei+K
syLAq9DPI02PTKmhSmcoRkv2xuVRAFvRTZ4kvcl+XNWFPYt3i1G1btFOFKdzjDj9CBTQ2FJMngcm
MK0X4a9hjZ6+ans9zDegDlBuqL0rTfMwza1ybzg0+hjkG3EKdHc4+JICiR7xMRJqCJJuoHpuM9uG
3jVI3BNQXDFMLOYzhEyKcJFBqw0QKgHC3tboY176eoQbL6OXs/9LXPuXudP1Og8EhrBI9iIVtVW2
bV6eKa9fzrIqUl97WU8WY6H+y2g/9Y3T6L+PE6MkLN7jvrzG5XW/xgVosGUI8U+5SqED0hv1CluD
gDo7+Uq816MVrG60K6dmlVawfxoLc3u/ScrlFGylqn8rVEUuweJyUJTfg8WoWv/Dgqu5yRV9r+Lr
/RSWXX+GufE9t4fqKcD77iCbA5pE02CAC95eVuwYsiejsRlZlOQVay1GU8fAti8xEQOYgpt+nDAB
fn7FkrJ8SkMJhKfce9y2p9GwvtP/h7LzWpIbV9rtEzGC3tyWt23Vakk3DM1IQ+89n/4sZmmreuuf
424YBJBgtWGRQOZn0OR9ktbQ5FC8rfE19Jz2DbyO9BZ5az/7qOZ0k+vBo0XKRjHqaKfkUXehQJud
MTbDIYlC5YsaFexpjNb4hs7O2TEG8x+j67c52rR/QaLH2om806tpddG2CV4WsTwszIP8kmtokCwt
XUFEBXwB/GNpx5PeUtGd4u2tuSioyNkwKs6piYz9LbsUKMO0aacBwbhBg7mHdjSeet2DGc3IdM7o
OkZrNzRePSexQahpVbgjfcAyVNZavjL/k6mad2Kt067YZyZncSCx1KLY1cNcb6UZtEqPVejwz4zT
BpQm66xlfvkq3iXz9GhD0P5ueywdoqq03+LMGDeNZ1iPYdma8D0166QUXXCxQrD6rW4W0LIqd90W
zvhepf7PAfncH01QrF1vsWbQnGHvl639aRhYUrvuBO9mKo6SR/FS/QkB2/EZ5dLydc71Q9ghTzC7
7gDNAdis5GJkUo4zcVIDu63XYZXi3F42MLxb3bl2U+Be783CrVZ+YreXuVLMGVwjcVUcBNvEMoZ1
HebDNilUd4VhWX3xA/WHEQU4940zpvc+++GLLaeTrZcYJ6fVNnX4OerRuQLw4dOWs6IO+nn5A/Ou
8YIGOjWdtprywgkbaOUeNy7iCc7ad+1vdluNp7CZ/eeCysnD0JigrSrlWbrC3nMOM9SJlRko/rMM
OGnnbfSgYb+99MmhrOxqlfjA4EbqOvFimLjJqrh+DJDeXmcqd3k9kcgMyp8NHrWrzu7tNy3Baruq
2uTBQCvyGDcWG7iQ/OwmdOfqi1s6b5br5v/0NeD3oxJD2URlcEa/Qh3Jp6IlVlrY5WlWHD43fowl
FdkEpKcAFoMWu4c6aaDwNY2VQ5b0IV6k/wnlqobipp8ic55WSeEPu6jAj6kf60yFYhetUSJ5tbFo
w8BErbd6pU3XlhoLUmedtQc0a/DWTay175PqhfT6DI/K/EdBeNiPlPZHulBSkrys9k2ldRv8ySr2
8bjSOrVbQ4LF8l7SN5lmv6gOv+09IkBm5UOEZbovLf+st3zQWbrhC7L/wBOiKgDfg10iuo/4NpAW
fs81x0CCqFI2bZjiCTVm1qeuj/heLQKOyKQaV26PS7boP0pXYyjaBgn1dah5wRZK5PhiFPX0EioK
aQfHukoX6Mru7BrtD27EIkPTCnUn2/WavcRKCCrsWstrXRpBPFUHQ0fjX5pyUMCtotCIsbxM8vo6
fnSwZbhH5DWcVbOKw9vPoXfue7wAJICV9qCB7fTB0pTqoYGduO6tKPor8JWjijbEZ2gQ9r7oLX3P
qy94T10grUuAzBx8wMGtOq48vvG/9Uvl7H4QrVN0i6z1bPvV5j7wQXyVtKpx0cu939rKDtwmzsR5
9MFptMTLBqHAojuJTHWDQNcBAqS6FkZRg5/OSwzfIgsoAPXA+FByQkYFaRcA+jiT7/WlWeJOuvV5
nvBIQ1blPiraATKKig3p2t/B0kyyptiTDMWS1y2urjrrP5aTHLStnARBFrzmiU3ubRWx4bCtTdHN
7mfDtKmto4x5nd2ovoDSibd91MRfG/AQgwK7foxxT3c0ap+t7ht7UCj2oazz5MXuMbuTEHaleLTP
zqdcZ21jGLq7iag9vBueY2ymwJoO0pxayDwdRMyrND2z3fLcVV8LXa9ePbPhv6Qpn2e8H68xvu8r
afpm3xzkkrXBn/eXjm1kuMPFhrAAFlDtnu00a8/Z4OLc2KEqr+hgYXXlm4XMyDYelIhMZpW/mob3
V4kgw5cUvwa0rbsvMa72lJrU9mlYDp1VI8Holud7v5nXOWvnWIdaQawc+jFyH5Nid++RszGNkUus
4HjeB1JKIid9Lr/knT5t+GO3az3QnDlfpbWG/UkdAOfHox0rj9CM9gVS3sO0A5dqrUQJGKGU6Rw4
xZu0Ji1unv+7q15sZJRhvkVJ678n6jFp9vXvScriRDiVo/qQxb8crZHVe8kn3T+KyOxdc9b1Zn9T
ZUgEyUBTlDj7pTZwutQJ/wwuM1t/yObvcUjC3VDPN0EAeZkBkKuzDUvSBKmaXeIO/+CpZp9117PO
9XLW1CBWVx9OZSgaBvvsUx08FGZzla5AATJqDaxmwkTF3jfqsiPqAAjHxDQDm1eN+pmsvv0qHXPb
BWhSYks3jBkLD7zbxnBj1mWxMrFZPSds3lGF+K8zrK1/9QGw+R+j9xmBnyLZqE6gc/8lbiif+tqM
KD0S8H8OlQ+8x/3x48gHBob1BWGD8VT4jXKVQ+UhX6Qp7YT9KrCS+8CtGY6sGJMCgOXvGX/E8TrF
41K/3rsxGnfWNU5nPCGqOlaAF5QVhdqpOstZHMwlnodL+3Z6H8cMoV0bsWXc5siAm5IgXsmpHCY9
cg9RoR3aefYey96sH2AyrEI4mtk2xfVwN0UD3sxa4T1KiJyFI2KfSLAah/tAk3S3uf1ypXu/XKR0
6nz9x0DW12CjlovIgFy96lOyFihaO7P6tXKwSoyzpjwkdVhuxUhxTpRi3cSRehZhOs/KNqGS2p8M
Ewb9v0ySKN8B/sK39387KbBq87m03Z/UUbApcD3US6jmjFiQf4thV2w826muujoalxpdG755ofbV
GL2dOnfxj7DmwdFH+ABoiIMfEtVBUBw+x0tpJCBJNadBJySbj92AZcuwPCLrJjMfc3TcV6M+LzJG
/bUL7PSzqpc+MHBP31ttP322PPssAW2Qhes0i7rHKpzsi6oXGYvspPoLuaJVzod+o8yubCcoLkdt
GINXHpc/Zaa1UAmtalZf2r7AuXVsLfSrk/6biWyPRJDsqtG6ZBCmNzpBRfgpHq2bA0auReNB07F+
qRYQ3azjtqW7cLDsQQ0/dYl5kH4Jmwx8rKwFqqe6Gqi7DvcZ33YCudofYSJprC1X++8wPc2+sDjF
FJrdy2MyISynVmO/wUkM+oUkle+dklSWXPR9wADQjpgfOet7ktqLMZHOKsjwporqLV+VaV9YtbGv
0tB+jzpjS7p//q74qDd1ELYuqqKUz1aYFauwmdTvVIEQJChQyO10Ew1jEHEbmTF1uLvznfxCcbJC
3eYUOZaPgomtv0Gq8G5NkfG6N2/KUAa7Ls/y/JsW9tjEzakfXhvcvVZd7GZPdjrlT3OCnjWY7rck
rafTvd/AJfEgsfxb0Y8b/yvu1tfpxq+YIasmKGRGtPVHC9y9ChWn4N1zuTdjTPek6UUOb9rlkIxZ
88zNvTbTOnuESO08s2C3juUERcpKO1haKZnjneXl1SZo0y5ezwWQQZwfyv2trVT6d2XADxPxCOeZ
BZfznGHBO1Zh+CQXhG1ePSCbtJcxjSfRtggqf19o7V4tyvmf5WRMrdtJ/5+T/zkkPWpvbOdxiG5O
k3JvZOFYHNnXfZcbYhY3hN99EoGhKO7dfMaHOAkeWodbyCv+H/qBpgD58Jz6VryQ2kOk+8urWHuS
msRt+y2ljRRixdHX5ye7p8S9qhedhlkZh13QF9q6H7JppToYGqVWmL6FcYkyGzB2MUSukYu5GSLb
urodQ/9kn2S/UmFVueltR736ndZeMSRhaxp14d/1Efm7dvXr5VHAQjjEAHiKlRdl2Rnoz1KZjFp0
SJbOIOmzsxywdP51Js0Pwx+m38NtLZx3ZgMkLpyUKwrVvMSwg1Sus0faJchLZScjro2lwcZZRGCD
DM6CxNzCZbzwDe1K5Vwatx7DXQUIojz5KFQhqeM8CAEhBIh6tq3u7zsnoUa9ecPfqttJxByM5cnt
sge9RCMJvXx0K5YyBipo/2ku5Lcsmn81BW13bwpC7kPw77n5Yjil5maO2mmUkumEOpRWMBrLYp7S
jRb5BRYBfAd3eOHpq6Si9NOCSbOP5pSXFwrBCZD4OfB2SFj8dWvqywj6Tql9RPcNzQE/3ztu5eyi
ILLenNmnAgQGI9O7t752nbfYC+0daCLjCPc7fY74763iBc+Rw2/0QBF8D9oGHZxWy64a9EUUmcZx
E6Br/K0dmzU99t/l1OJa72v5czVk+tE1Rmc3l9Z4HFooIVWXf7NJHPyw2+Iw2L79tVYQp3AgO6E1
qpbnpiMVhnCm9/Y7FKDTLbQzzX8PNfzydtXQ+hXaLKHdoP66ammPH66akqpiDwLSoZjHi4OYz4EV
wAuiql6+iZY+GZDDqJbjBdXW8ZLZxlZrRpgyS5ceJNAr/zydksX1MsrGjUz+t2vdJrrsWg/Y4axR
t8N2vl9NbpAuRoPGW4q/CVvGLrn0i2vxfVQMjmW07IzkwibiV/Dol/Gmd1C7W75oCshHgGOpmZ39
5dsonbk5jCunZBN470vkyynDcpCRP+Z9iAEv36/wsw+7o1vqxr5cYFMJBJq9m9UsHjtTfbkdTMB6
djtfpIUXhHJujOTbDZQ19UAAO12b9jKKcn7xgsikXEx60jxDyLTKlDXiHWoGAjF9q//7ahVXu0G6
7leTC5TdBDE9XseC/yrYWO9a99lNhnpfF1X7lNZoV0SRO36eDLi5XlgZf8dVu22lCGiH9sa2quCH
5mPEWpe69VkNixRxdlV9ynMn21uJ2p9LwyvPlAnqfevYMD/GAgNDthqPcqjSycF5ts+3976gdMLH
wlPcvR0jnvzHAHeTzvOVbfTvi8gEaWpe+hratn+UlvS3U3gogNScssR+DqGlNOuuCg56BLhnrBAD
mdvUZBfkVQfYyNEnT1fi4+zY5VpGO9+pnvW5ZcNex58iZYo++ZPyJYvsAmAo8fHED4/RWb2Twc5y
x7Ne8nMnndlghBYC0Oz619sg6GU4Pr4K35SpnakHe92m4ixNp0dBGIW+Z2nVYfQ1WYTbIypWOz9N
5+eJvMMGcVy0xUkZr2xEEr6xVv6EBs/809G8NTAlOEVZGK20dPD/Sbv6sSwz/ftcmdWqQBDnM45p
Ovhzf3ph7TluPbU2HrDgsJEzR2Wvduf5NLDOPgye71yD5ZNjA45Tn4TsDxWKnEZfOg9Ippv7yjA7
DO1I+Zo9oEmztcxrVpjxDtv3/rkP43TjNp321iYJevtuV31zivktaObup1/myPAG/Kzt+CPxlChY
Kar5MGml/R19VBY2ehK+x+Ae1mWs6S/yyUUG4lXRMn3TkRszNiUrcyQ8eEGqTXeuWy98snqKx8qQ
+BTMjeCrGRU2mRk46nnZ9sD354OFU/LXTClUdGAKtFaWsBxpMFW1qpe+zrtH6MEsMpd+MFrOJtNj
9egss0aLu1qz39uF1GZoIXiltDPWwlubCgSvJm3Qz0Vo519sXIYXmpvj9cVZ60tjLSQ4ieohIkJH
yosvFga+v6OomRlrYbPdo+RabnZj0IEtLMDPE4UepboPuzHlngQOkleqtS5ii//NstyWQ7+smuyJ
bN19QIKDZcZ9YJKlmHSW/3KZGHbwGT7/k+wmbCtxVoODNwZQwuRzgZyI9Pud7Rwb2x9QDccyBFHH
FsPeoP9keuxXPSN7gVHcfxqyELKrqmpnGXR0wKOBa2k7gQKg1NYf0bpEomKZWptZ+2ja+VUGg0JR
DijkaGuWd84t75Wbfrf3a2feShpsTHmop742HaVZK/rPqk+sB2kZabFSmjBjIac6zzOEXUmwDVUX
XsrQRHKtsKnuV47F8itvw+pNi998qm/BaginxxbFum8a3tHrtqm1Fw3iwK4xy+GiIQV4QplX3fML
tk9GO8ebmuXBu9EHP5wsy784pLdwyCGThIb7mmTO3PQrV1fbTR/DiLKDKVophdehghdlO8pLxcVB
AOhMwtbZ1XhRvMy471BBKxVEecuTp5vmP44eI2notn9xUWvldaWydWZbhRtdurusJK0tOxaKEthM
jEV2qJrYvMjuRAYkzkFx5xZXyOZlmvNDqFtw+pZdjOx76hHj7zx0j22PIYmojDkiQlbzUtj9a2dX
x+7qFiTx98ih5gbxlLw95RACHzs0C//b9kIvEG9APJXs7mKFYSApd4rj4WuEferB7dnadZWBXGAd
R6/zPF36yCsfpKvWjF8RobkIY0SVemnM6deoEXrBoddt8+yEkYV7U6J9zrqiP9SWQWq/NNTP+VSp
2wi3mr2MdiH5dMcw+5OMZlH5D+oQ7YMMlnjeBLERvBoJsrqR8vN2haLJ2GMUr7eWxkscLQk+TaUe
59RYtCMH0p8UL0vXksa+NyWN7Wh8moxKGvtDU5Lc/zI3i/n+SZL7Q3CosrReLpUso/JBOTbe+5Af
xclC+5wrlCekOpfhIrAFv5scpKSnxdn3pHG8R1WtojenZtWxaOy7XsnWL4yDHaAi872PnTOA2IGi
y1i+qOPi3TQa735U4rIVuPnGovbz7rhOgjC/6R/bOjphawrVUDWOjm01L7DC25c0D+OdPyca3FX6
5GCbwVc1Ur2ztFTLRmCZSWnOlzAvuifF9advn1o9Hb+FyoDQoWHU+ylLz7Nd4J+OYwjqVq31ycYL
aFVZo/eTtxFqZ1M65CurDJxPERy7bZLP6QV16+SyqBm60/w4pU63zUogKoNY4km7DJEIum1Ky9hP
90kalmvbzp9xIu8eRORwKDBCnlqexdK0Yq895p6SrkVkL8fW89m39W0Z84ZHabF8TryFemxiuun+
dri8e13OC9BCE3BGMBva1rUcFK3unXJKHotUsZzmrAxvQfdrOCo+AiYG2oh3FtsxLo13nQfj2i/U
+SzNKC02SApZn4YSBXK1L79aUWK+u6pRHrzAO0yT+0pV8hQvPBGxNpKzaJ72YdzV13t/pgI88Yy6
/uCKVJqqv/NrBc7aMl8OMCrMSx8XJzfDii2MlxTOol9JRcfcOKFt7ERUzuyQ6mwm7+/MdeFqoT2H
FQi0RCkN3WNlqjpTsFtiZVC6QhTlAtc2Hj2jmp5u2I5kar2LJBHMzLP389w0q9u/OLS1X20Z7gwg
fKgy/RDVeGhm6ZbqTHXT/E4dCLyr2o5fa17/p0Z3aIZZGl00bNVkRhVZ3mNd1BDuGrM+9F9qL1dg
+Az+MwUW7cyb58tQuP4zqDH/uUdecwf31VpLn8QCDkKNs7DzvfTJAb29t8BrQwQLuNAUqsaz/y0M
EN+9Sa6jKZOsw67in1JrAwsCzorJHfbxcoY6za8z6buPguWJEaNMnLPfsvFq5rrdkvF3nmpsDJ4c
XCKoa/c6C3r6qKkzUKnRNaiKo3QhAtIqvLjw6O509eEWscQaJUw715qb472vNOsRs3Cexhj74awK
GTqur5lhVZg8qDVyCUub4pl+6tnIfuiTmEpiqiD+5OooXkpfXRXNuLpFBoVrbu7XtQxctyukkNSO
rbGppMqjN7JjbIcq+9vHkC/pVOtrmWc4T/1LhDJgJzJE9i2iUbkDQhadz10Xf/UiXflc2Xi2eXGO
DDesptOkB8Dh9a54rQxorl6BYYSHvEg2OT+rSmefNhxXWmm6N0sCUYo3apaeSu3Cw5H7Sjo9NdZW
lmXNEMKQn5d7SgZus2+33H2mjEvkfXajuz3CQ379WQ+yTYWs0nuqudGx8TEc7rx4kYcS2VK2MSV0
vRBRmxbA6maKzfwCvpqMMRqRqyavkDOVzg/jEo/dFCmVKtibtj4cJeQW3VhA4hMrBE3ptGc5mCN8
ltVsx2a5ko5MRVTZNhYTa+m0JeAWdjsPiqk9m0PSnT+OyeSIbUhZ6MHxY3xUdKicgRJpz0PNxndR
OdoIZDsBloNCOtJeDnhuAXVLv4C4m17dZ0Bazn/0S4Rmohm0zJTB+/R2xBpDsbwfgddpZyPBRErO
/q0pfUrpUMqV0zLxvE0ccoPIPCUdcBia/CfevP155G1yboHk3c6kr1kG7qP/1qfpDlYbxbj7I1ZF
50QnhzVWNhlitT0kM6hq1pb5Y2cOxkFn1Xix3N69oE5Y+LuyBbGU4fK1tlorRPnSHqYjjpsWmYB8
in5mrhojvqd/ETol77o1VnbZ39a8YMH4Mr0A6IbFaM7Dqa5n9woXzd1ga5HzPTLzTelZ8cvcYj/k
z5W6mxtW5OuyCF6Uxpj5EVLMDzE4eaxKuKZLrBy0YLAP4JWtlTRxYHY3YQ+4H4VLnsFj/QgSw3ir
rOGVzXn9qC+LnmVMWjIGw/JD6/eYRC7zzMq59v2YAsA0huuds3DnNyAK8zOY1RFeDRFyuOvVSXOJ
aGt4+CQV/V2iu8ExdZoHHj/6W62qGOcE9UO9JJ2iucyffo+ViRNfsAeAdkGS1tJxJO5Up6C616K+
Kp25kytXvU7K/UjeEpYMzfuAJXldFRc2q8nRsGfw1iWnTRSwoz6KftOgb8rIar938zhtQ9upTx7W
HS/KoP6UcS9bBJ6D3H4OYG6e8SSMtuUA2QcXC3PtoEJ4Hl0XTfG4eZQD1pHNo/SzPTnflLlk4Hef
RNwnVAqcLCROMEhBsDXH+PRLpaHL41V2yw1K03HsYxKpwNiCTHsq0d0YQowNWzXQ9048eihDE4Xa
97Jt6rjF9BhitPqNTBrCJHmrn+XSNvLch27s5o21FEiL3jgDAjHPlenhLLF0eeh3nVzdR8iGLjl0
S320DtQezyOFUv7vWDLI6tpkm70CxVps40ABghlFiyVZa32dM+NTllrTP3X1mQ0d5btqtg6sU62/
hjCjpttO7edxCJZUmOs+GSaviaHos0vRhPWpdID+UITVHuTaZR9F68kO8/F5dML2EZlN/xBgMLMd
eCJ+I2O+pqqqvXOP+IdScdjq6db4TaE/LurkijTbl67F6KpZDnImB6dXVl3qKicxwJKu0exUFEep
jE21mu7ktw8RIvdYxV3ll5e/XelXwzGKhr+lCz8hFdUJK9XWZRIpW+mUg2lN48qOsjcDKOBj3QQb
10nTa7RoKUsXVgkA0Sb/gEKl6Wx6a3iC+MmGgK2nAzQ4GvaKBuqPlG2Nu+IuGgcLk2KVLE3WDl89
alX4S35BFyQ6NaaP5nSm9F8bI/yhjYPypKo1qhV1x+p+CUcpM904UxCdUWQ3P9v2tEY7e/hK/sbc
z+g37WR6ETYnvVa7T2alGBdIVNVapiNjyzMN+69r0SnRq+5jPLtcVn4oJXdntNNtnVsMa7BFa3mN
KxreXIuCkxxgls7YR76IqdIY58ohiRJcFH4H/Nuk2blNkig/VnD0cPNfk+RCjjNTbu5Z0ete/K7g
6Hhu4r56YRH3My2y5nvXOTiad5r6iGOHe/W46dcNO6PvcdK/pGpTfYIjnpzKKuq3MsGa/1Z8gMtA
wIJ91GvZAfB885536U7mWWE0blR0Js5hC9d8RsPxIK6UaFjblAhii9LXf9lVVisHXZanKW6qy61k
jB8nvo7Ly1ddDrHjnz2AsCdpBarrXBoUscI8Zq3j5c52GgJ8oJZmLavrLLW/d56qHaWPR5j36Op6
ejXTditd07JMYjvLJns2cPRSEICSH1IOkj6wu+nFSRTlJD/t7TcIguKQIBpoIBSQhuabUGaKwA8e
f7fquQgfo8p+E7KNtPAWuLWGbA4lcgb9gV9claPxqjcKld9Cn9ATKcwvkq7q6goEOwWmi+Sy/NjT
Np6J7KeMWtRwDy0W5rdMV4mtw4NdAkdeSDJyIPfYZk7ymnVzcLaLsF+1oIJIvSnsovoChb6StJIM
SBMgRPWaON3VNCZe4rNav9pjHVILhRUigxKW7EuEshGx4wp2ULSb2cMfS8KdIp4evGa83K8nH1nE
lO8U9GaHKMyejIQs95CbM2LZifdJS6z8GMe400lzkeO+oGNNZn4ZNcfKfWr08iAtOXjm3rHwzJMG
tdIHZKnnR2lZttNimFWzulomW/oUbfy2AyS5NOWDp3FvmV96N0eme1YTdd8X+GYsuHdAlHWs7h2o
5VtzjOs11r8my63CRhCnUU58taleQEwqEEDLcLzpGuQbWlhiStXATO2rDGMQrzgPC76OF/iTrzru
k6O1+ecazndaKJ+LyYIfOVpfpNVnc3EyrF5fS7PrwsUxlezbLXa5YDTWF2T1+oc+nMuHXMEWE3Gv
ZtvaMRDHOMdSMDRGBPY5eGXY7SysrJBbi6Ynq42mq06Rj/oRKx0IAOQ2AK/wEKAJ/e9XU1JFXa38
j6YZab+C/5grwTLa57GFoZtZb9naZlf0dNNr41vp1a1r8zKpG+mWnvtYtwRIH/d9stMwbV/J6B/X
uMcBcMvQG+713R9xg9qAxleGfRYqTs9a2Y5nKHxTs281iiRS9r/lX+6dH8Anemg3eyr88/IA7UK2
xMgWCKOj7Bwf75DtYPnhdZizFqO6X618VGtpVaqXIKwxbkukW68QutyN41jzlyGfL9ZSbk1z7bWr
mug9d71h69ZafCmUbNo0rvmzX6zXXN0cttibwzFammJsFMf1S5M71kW6DKhu1yA0HmTMc0PsgMRt
pym690YB69rhgzY7nvq5gMp/peCcrjp9UD+XVUbmTNHMtYx2jWEt91W4s4Na+1ypBoamjaMcZLQM
Z97CsztfxuVSs5Y8Bl7mPclglhy8tHfffn9cD6uQR/opc70AXcShfO9+evqgfE4nv38ko/TdXET7
ZwtTxlhtu400lcnUYE2XIN5brXh3uuGnYynOkXK2si3H1N44xUDpcTZzBKE7zWa5N5X9KkTelk0n
foQ4K5KNDQJ7o3dHg7weUP8MItGACcbZijroQkE8sjdZTh2vxXSlJZPmeRoFslJ/F3PWm3krmNZ6
C9vdJomxfJ4MjUi5s0BUSvxX7UUdu7Mue8ktuBNuj3aRBusP2QM5lcNE9uDMynslLUNF72Ivp4lS
/TWBLrxdRbo+ZCcobgHjuekW2zx8Ni0eus/q6JrPXYYZcqar+q5MG3DjdpOT5/cS53hrZ0566tpZ
u0p035UNjIJ1UINyXjvlhJhZ4VxvoXkLHKZsqSNLrByQvCp2npUXmHLyaXbm/oV6yffRa0nUhPii
o9xzjb20Y/kX8lpUg0w/aF3iPklI4BrBNuJHxMvXcp6C5bAQWg5DbeKLulxFBjp39hcLyu29S/q1
kIXp1qcy9d5OcbWDMxDy61TzMw6dw0oL0PoN8/QkEVlcVTu+j8EJgMP8nKgYuJBbz/9/IsIMdkKU
seG2XI17V3U2qaMBbLkdJzOKjpaivX5Au9xO+Sbsi9wIzje0i8BYUrtHQsqET6YUOx776SfbAI1m
If30s41IcRf+z7awUEhv8u6NtSnwHp/cPWJl2rmurWIXFHH2iWf2r0k24rCt6f/0athrZaZiOs7u
ahtU5nwZSu3XJF2xsrMFk+TG1EdOq9xlJKjvHP0/efzaQv8Xvj/+mlm9SpDn5xuoXHiq1Rs/LK3P
XQ8l2jSU4KeOVDJ/ZPLkACguVVm731xPUVaTF5Svec/bAhAO6nSpj8S+OwQHbFCdR7kSfCC8R4JW
PcUAlE9lqH0vh6l+FnZzunQhqHLrEitviVq6pCWh0qV3WFM13MrSNWX5X/mI+yQMkZ0kqnJJdvWW
om9z7m/qTizgbp1zEn2L09Y53nNfQ8lv2ubpLvDqU2H7+gAA0I6AfN60OfBWSw6YGe+1tJ+/896N
cF7v50uUmfqTM0BzlYEoiUKI/n7y4jYRuaVaNZC+YEbq43QOsfRLNqBulkNkPtSTHb237BQ0NKhW
bVPEmJ8b/VM990dhnfYL9bTAmYc09qv02FX1mlLKexAe6pSgEwKduj7JYDUgBFBlprOTiVHnRAf8
1gGLLoRYnr7u2cxQXJO5yHHkW8eLsVWL3b+bSImOt7T1b8p/2lof+m/vwcbQb303PJ3ALHli/N1O
86dcgcjktGF4lUMUKV+qqrD29y6WUeF1SjQET/IC5Ax6AGAq1MJDp/xuF1cYys7q2uyULIZy0t87
xU/b53E2zK66nQvN26CwEr/IIWt52CVJHJ+cJbsjfalxsJqgfZbGFGjpORysv+9zJnN4c6B3hP8k
qCSsBjHpUkrtXYNo+BrpKRUC6DUIopUs4EyrBPDY8Zgy1fAVHqqBmW3SkflbRtOpgkxi2KhJUPZs
xe6WtVwG5LJwUVkZUad1eutHalyqxRBorPpg1Vqd+aY60bAFJeBcVBcuj14E3S4LW8CWkf+AZpy+
SeN62uljB/+oq5NHewZKtrTkUKSJseo6KhzSdIzYO8FwLFfSlFmarT8pTeJcpau3wm7vVi54++Ui
ShvV2K4dJ7+bX2bNrl9dtSJ9U+rbLtCnvbhO5q715GfK8JzOSUWlcT6I66TfJuNJaylYSbNK4erV
i3Tt/3WSm8LVm5Yy0X1STtWZV5WurSt09nHJBf8g7tMooEXHQU9zQPA13tRe07xC2rZnlHD+jB2a
PjrOqCSuA5wSXrvQktg4NkkDeTZPQsRblY0Kaq/Kn4AoutsY/cUdbIqehy9eKYmLYcheWEepgZd4
WttHGbDDlnrinX9E/THbKdA8Vx9GPpzyU5+Khnyon1n/uez9s9Qas07DHVUl29YKMAGHffrhhnc3
srd+Du2nckCe1DeSnXRbbhGfMz8c1wKDT6fY39gNZIffk9Rax0w0x6BOm+M/J0mUm6KaJZMis9LW
qdqP59ABQK+NCL5ie0Iqv0xe64Wfl+WZcTAotT73MI5ZUxGC7MJKo7D5l6cOxrrBTPix0COe33qR
7wwYVp/73nsblKD58b8YO7PltpFlXT8RIjAPt5xEiqJkybI83CDc3asxzzOefn9IqA0tn94ndjgC
garKKkoWSVRl/gPPZnJ33fTVGzH4TepGv5aRgUkt+KdDjF/Rz+WFqcp1Z6fkge5kCRwmr8yOlqaO
b1OfYDxQAdTWxxyJPBuLl6xR+3sZnXsUgMwo8G8yWqnBfePp7rMM2nflNLbIfNfJC3vxi4SYVZM8
hjFaW86y/Jw12n3uc2STKfLiYafq+8rMz6abGj9KHzn1xZTStbr/JBSWvxRujoqL7xj3nYL/VAzh
9vArdJha5y+fUIesyb+GOrn6YdVfofHQva+q9MOik2d/WDVH+1fXk/IFI4vipLe5ckdWEg9rUKt6
GJVvYKmMK7bqBkaDQ/U9SzqyumGYPqKJk33GAOhJ4rfp4UAYavT/Or22x/fphmmlMl2W9T0HrlUC
JbwpDnk7vmuMiHCIZ3QuRp7pZ2k1um8aIFkIiSoD1kY3XGWgtWdISmPR4kE98Qnspf0eiCMfqgmf
P0yWOb9W+O0ldVxJDwFouPVnMTOofzMV/108zlTTI7NFXe/322Qshh1WtOZBxjNNCa5yN+v6+93W
92G2DHsumgLvzytws4fKzafHxA88bJi1o7S2iwVE/hE2bnlMbWPiG4pYsMJ8huTWqWBPWlN44f00
PX6YFvsIe7gDmWagUvIc9kc0ajyUJk7SlAFBrWNI/3FgfS7nDWcTL4Vh9OG8Kp1uZPqnbVlZwl3W
/j8MSHDEt9zoZco10/3qpqTskMpQv5eWXHK1oLy6DMqlmYIemzTVPPw2kJtqdZO+hIXPSCp/RiaK
emxbwLTZyeS+wGplcmPUFpeq13bZ6l+DXVDm2tpbDMxTpKXDuF4nK3XVnGBqIx2zWNHKbgL5pMXE
Z9lYZDl/pdoISXjIBkQ6c8XJ4OvUDbbXWuqvM3u/SO7NoT9Btm0o0+ELI+YwqwWMDzUrVLPw3qn6
TH+Q4dVMZh2vy+ixg2KNe1iqh0D985iDZ4RphkFm8wpQy7P3fkevDFVIlJQxbg9dV/nAQZZwCdTJ
VV6Ksd5Z49DaJ8mum0qD2idSByfJuIOOnrqd00QqsOcl8b4Fpb1NUJg7BY699c+0UhJkagzMymKP
0/Dc6l+2pkhbSzPzIDHqC6dlGxVp6625+rtGIaj1nDwKkppF7r5AbU3f3BfbHpo3LXO6l7it7koz
bt7Iw8dYZ3vf1jHVXn4QU+XXYHBGP+GSUhMhccXMJjBAJ4wju6RltBzJuCj60N/JaJm4fPc5E1uH
ZTQ3MAEKQ797kFHYJG/IJ/YIjDG4SNDLDxYbhXeZa2V4F+WSGmzUNchtRn5yXJuLMNe7Rtcy4pTm
+0gZaaBA+U3fO38X8tpGpPArq/3rQjIyk+Xcr55ZSgzzHldrU//pqe7zZNtAYWq3PBgTupLShJNk
fsoayz3HKNHsjKUpA2qqdnD7/5TGFooV6hvwVedeusbZwjzRxmPGIsN3BtrrX+3B9a+6VSKgaMQD
8AiSYBDTR4yQlz5UPy+qVf6F+stegDyqkitXDneIvywAnnRGvNPpOdwh0WN8ze3xj9LSjKdWbcsv
y6Shapu9PbblZ6tUD747Fj8rsMp7DWG3ZfMALI8K8UnnTPqqxm64w7bHXRQ4CJnsjpwpbi74/zYv
MHU4VSJKGcEsPxbV0J/7CcP5BoGkLizTr3WvxNc4tsOD9Mv0BAZN7sQ64s3NorgcjgEy1BZya9je
ImbmpPOb79n2Y1/p97FaaNwA9vMHLTlrUQK9XdK3v0Z9UGWf0epNzvMyKsGBNTZsPUZaPJDDOIbi
9KbUA/x/btYehsJm6fkYMwCUPvapghNJpoyfSNaklEB8DXg05BHO9bC+kjn+1oXq+Mmt/Mzf1aDT
Y0OPb9JnVZQugL9ce/JyR8c3VDYw/1QZ12KZiconm9vL1h/zjXGDKIkRMGXIrd/xu8MElmjGkj3o
kOvKEjM5tQGn9zQfK9Rf1HnXLJCWf4lYbBSffXwstgjNRAlcT0MNYd+suvU12ge/iKFC+Ez8wj+i
baSv7NKNHWrFwZ9q1E4XIZFKP5X7CVhMHj7GZvFX1OvzTw6uEKjKqvhkBL3yEMSKs6eONf/0h+Ey
JuWI/jIGL4aReqfacurvrj7uJEAJsbMuozq8kmpRX7QgfurkzAbSBoR2VXWfNb/6KVIFkNkbtvhK
9lzGlMF8Ey26dtEwGJSXxAn1H7oZeMeyH70LUuZ3q499alA/p+w07JGcSL9nHRB+UWYmW2iWpve3
VWff+sxsvjUtAhIZ2Z1nJDYSMG0WLHe9s6+xil1M53n2qvBcjgkar8WM9iIl58/5qNcHxUrsU7ic
R02kxT5Vqqg2V7c0HtpjZ1lnOMxduPdGf745yIhAUYT7B93mX5tuq58GHjNfEsCiCBL78x0AmORH
jpRUggk36dGUrTWan9LNmzGk7vPjt+jlPUqF9bMCAXU/ZPWTaoX4n49+5wHt4Et9bZsmZzHMsPrz
BsCIg+Ko4wT3JF3NaAW3ZYFMjZVdoujqnTfp2adgcfsEsvbqdnxkU63J165E7/uzO6AQ5485FUk+
nQnQCVR1lgd9TAoQJxrlKM1tQJoRCnBoZHnaaSib8Clmc7PDtgjqsU6hwMiAMknTrXDJVhJ9esCL
wviamX/NZBvevFw72nZgNYgBRRpy79AnxykBcoK9zp00LbV/78uXPn8JiRr1qJPrOwyL8207KD7c
K/QF3MQyP0sfsqK10rgv0lMPLl+kBadEqwg/aX0fPsAFq+9t4GZIRpTTD8uO79t4CO8akyrfWzOg
IKGr+L4CYpjuELKN0IDV1f1sxP33sE4+pVlg/j3G0V4PPf9Pf+zQ52pC87VSyvHo2zBNDMeM9nnT
4tFplo+xauMyRmki2QW+0Vw9J+w/B61pnYdKLfZ+CTJ6PwAfHUDbP6eZ3X+G+mkcPMuB8RfCRhlC
dEKWpXy8xHeDDxdyIw9EduAecaMZ9kIMkIGVaTDZzjFwRj5NPMNvmTfuUVLnsdVkkC4hvvvXD+1a
9Skr2Mmd9MnFKj28shLeIHrpP3mzxddpZ5X3oTX/CKxk+uT0JV+47qCdQtJON4lYw2pOLHGau1jN
EjfYkX4XmyqexXrQX50elerl/ShvQ3l7xib7mERPHBL4/7w1wZx116zJnyRi63djTd3FIHvXd7YM
DKaVXCf97EXaPXn14Fbpi/1ktqjTjiDwKMfq3XAhz38vfXJJltF/CxmoFT6ASGerGFOuV4vHlcOi
IR/1AE5v13fhHxB0tFMZ6eWiiBN8QXbew9+IBG2MWPNrPy3soNx+C5cW1cj0xYWWJGMSr49/mmhh
f27CQXl1pvQpR9f/SYacBqmDXEedWcJVk3q7PeQegH/WUjVorPYiyiejk52FZzdzyoMykol8FxSZ
pzpEOSnHsEHBi+UQq31wqKAa31D8N9YLgin42ylu9ogPxXSRAb9RjdsW54aAZo1KvV9jt7lBW9y1
uXWVAqpaqqSBHJ8vnqUi64zxXZ21oDJUx+Er1wR2TfcYtfpt7vtiJ80ZbeZz1GEzIM10BKypjHkO
SCPTHi0bbI1ftcVO9vdsc5GnSckDTjbE57W5bfA/tD+cD9ZbuEG4BuvWFcuo5EEuZhpNzc4dKwpB
bYvgmbRlaOaJRKWzd81jFTvmnaelkOVw/buK3VYYwVgC7RPvpDk48AARLXcu/b07jzPG3on5GOdl
YOwKHFUAKvG8kc4gZqTmNP8ItKK4rabZI6kdzkCl72Di5jyHi5TwtNQS5C6WWoK011vprUUfGNz+
eLfM0SnVHd6ZynEYgrDg+y7H5POtRjnkzvFL75guTVyY04M/ZdVl4kP8hkF8vtSp5ps0+wYvOtBS
L6WLKITX4Am6TJrsunoKovCHBEGzRwt9eYEQUbhLAdL55AEHwnakym96g3LsPmpqCyZA91WQdcpg
lYc+8rtzD+sM1Rf/vbmNFrXenQGHBvs8qXgYTF5tn2VjF+kPaKroT+u2bhi0YM8HsL6TPdz7Rs7p
z1bddTuZ0C/bQRlgamwlBh+nZfcHDiDYl3NSwyKrCmRq2H2ffRK5O0d2jC7fSk/TdM3tmi+yvqEa
i3s5ToHdwcqm5E7MzE19cMmPgEcwxM6c+gf+C0VwdNQ0YGofnRf+Mgahy0vIT5H/XUOh/bS+iFGQ
LXcsLM3lx5QfeJu1/qAYg/Jl+Sefy3L9PSQq6G2LAmxorr+5TKc0Fp09q3lOze4SQ0Tigb3I4Iki
nkje4cewS6C8PRTw7P/Rx1sCOdwrh0hxh70BluUcOZ1BNrVUEAWL0gAKmqGUl2bBRW5N+XPlnWOu
o4KT3JoyugXbPEK/ur77o/MqB42O5uRbJvYahpWcymH2/wDHyH4OGBFEcvhDtW02jyjTRhe9cuNL
0Q3Vox66eBXEpvcatA5QadzrLrqfgoW2YY6biRvfBDrq22rCN1ya3AQtKqPSnBfsReAwugVbgfoM
cRLb78Z6QrC9fuaY+ENOPS2ZCkAbQXaxh7L6Ptj31PF4tqEAOhykq8R7c2fYsX3RldQ9ap3TF3fw
uzDBzSh7c2ifmOPDHZxqfGvkjSXvgnQ4IFkbv78NcLZxKTzl84e3sQIKmEMZ07Q6OIZqAfcc9H0W
HqzKSc7JBBaex7iOrBb7F6TD5oEvzUoHTYNaEoJ43UNt6jfQDu0pAqG/nmbUKAUKSC4diqlf+ee1
Hedd9AhWnIQuKMu1TybCTbpG089sEbAQKYvJ6L5OHaBSaQGpbp6zoPqaj3F1XeUwnBok2tL0FS29
IA6nAthBaAZwd+seMqVUd4IY+B08APIIPR63M+ajO6BCGtXVuQ0LUOF+jS1JpivqsUfB7iVpfPXF
gbCruT3eIUtrKPkGUwwdJb8CuMi+Detuxze1cgkogrxEuek8LuvlWNEfnGHA0eOAdwIAt8RRP3E4
gDOm9a9ygQJ76mPV+yQtx7T0nRK76r00g0m1jmZb+Udp5nXV3c/GzGfYC4dXvWmaUzw05r2OKdwT
+99gP4ZkuoGGJWCc6ZMLgEX9WETqsNc0LX5qYhu3FbaZw6WPuq/StwUHitI9ZjVPc8vmmT4kT8Cq
x/t1EvkB7SHB9k5QRf04mveFpQQra0zgQdJcQUaN/XG0+e9mtzRLNJP3ueGUD4mvJfMb9UztiMId
z3rFJ7eC7s6iZuQ7p3LRXNou3SLQlICxOQEo63l2MaqoNSV+uTUH1b5Zjx96pFtmyZrqBF9HGyhu
QGYGD5Ql/i0Kbe+GRZWOg0lFXVxGpDNVFILqBCkMSGFXo5xblY8T4W0UDgcgRAqwm967bevIqKmy
deWJjA4ZsR+WktvKb6td6JAhlqbMncrmbCtGc2dOHow6p0EWkjqCbbbZpbFs/1AvRkv+AH5nQGHh
XjdbzmzTGK3f9esXeNp2e/5Q3aN88uWiJt7Ax6IcT+tzLPKCjq9XqrdRmH99l9HnGGTdSlPL9mBy
83O3gJTkAqmS5M/8nOZd+5JUToHYvg4/ewlIqNg9VF3vUhKdw0s1WcqL1bbJkgvK/gwU/dMMvu/N
KvL4rkA4O809906J2uYWcw4+TqltgsOw7EU5pf9pN939+j2tx3giZ2HzV4MTC+xd1ghbdfGpN5qn
LuXDNSQqtQdbwfbeQRWrSmKsilWsg1OvAx9quVDI6tS9zyhI3HWDrz7DxWvxbvWyH4MR3eQE1aJh
UZjkRSwdXBiYwe/q0DZHJQn43Zxsurm6N5wDc64fZuA5c1efpjYz2BODFl8KJuudNGXgt77StxW0
r/gDbQOVUvv85ZcVZB5FZdrbstvaQ8nL+mZ63gZlGU0d1Hun+bsMMDbOFsfjbnE3nnuvvcumAR3c
/+rvg5H9pIQUfrbIDWavThxEN7NP+8tMhpotISUW6ZNLwXnwJndp7BlYDg7fpfUhbgtRBqqpiVqh
jfLbMttaVuA5B1vvC/J2vPA28FtTm1pj3zlKedgG1GCI9maSmQeqEj5IgAgddXyE0LzQUS3QPfNe
BuSiwlJACF+u0mEtgXLHN0xxrZDLdid7D0+731sqB+gC+3GAAouKzqbRIXf/u1CHDCP79y79sc3b
ppD6jvZlCCbVrsq9WfBeDxo0Qxc6X0Dy99l0LrGSoPk6Q9WLLDO/arH/U1rSH+qqetKR9ztIn1zm
LG33wEQmgKysI30ZvEFZGku+YOe4gBSmk2X57j0sgvrql5SC9ZnDAMc681F8rjzAPFiKJMPJkhHS
9tHDrKsAVq+dhd1JFT+aJSmAFV+cq3+PY8dudmHZp7o+wID22xWZrPnOfM50TFhklFJu8ah7yjoz
Xjj8UX/TIss49GXhHvDr6h9t2+ofUbscHs3Y/I/jWvlZusylfx1cwtLyWNpasEZuE3s2OGd1LL/J
CprPv51M8in9HexsTg7bGkr3hnUKO/rlDLWflBKBEAPL4txCLyRv/LM2aWBACrUh/Wq4e8N4lo1k
X5h7DsDJZzky+LwppeX3irsztcDkv3jU22ofoDkM2WUYvfWWOj4aW9K73jaxrh9Vr0bReIuizNhc
2XpOZ6M3iv0GQ+9yvT/l2CrsjQyQwzag55grhWV1a8Puc6/Bt5Oy4tA60GwmOKtqqK/SaVu/Vhne
gxJpa78UA6WQ+Ktfutp6ROG1BNK2lWp79r0OVB3cwDL/ceufeqopQHXG49YnIToaNYB7lO9bv+eS
IMK5RONzteBj0ZnXkU3Lk++2h09yVrvjrdQc82rOinH003FGpTR9M8ki/rWELmCfD6GDn1hXIJrv
oWiQvZWFYUtoALL6xCej7N8w3IsrrXgQrJkg0uDT3I1OZd/+u8tU2CII8kz6LdVbo7auXxM3kNrS
JRPnFDuVsO7L4zQCR91NylhdRlV93CxQABqPN1EQkz4vsatLZ028m6kTr7PkVi5VFdWX0R8e60VT
bOtPsMe4wgM8KLWeqju/6MPHmVPXoTXK7mOnu4y4ihmeoz79a41GaGdxUV6EufwWPjcRHhCixzBK
ERSVCcul9dJvGtvg89Yf+1l/KpeswNgFxW1uS9BNSrGfGtLrB+nzkngx/QSqsG+sKkIVgMC1M6t5
4OyKCVFTlUmBnqfJnYzLZQhAukO8QU8dXu5tG3ifbVbeOR98qDfBPomC5Ea+ObmVfThS+f3Vjl1M
xiBIFLvWK5ObDIxWCENBbvsuX+S0YGitE+slaMqTvD3oy6cI6YKLn8IJWpd05VZplt/zv14W3Yc6
K+r7nkL0dVLn7NpNYXaVptxJH1sU9KD+LQbvDPLnRgvumQWi0SBObrcVdFdzkXc3c4pdNoLl86Bd
1b7pHosUjuOQpckfDfBSt/Gjv6zcs9HwUctn6iTNhURufmfrhf4aOelfEmHn/rXUs+QbUuQo0bAH
kpzHuOhVIYuDTxdnav2/m+rSBIXxPuoZ7nuwYdf9BaVQnc9w5OrxUQN1fu8ihnVX5uUAPC+lyhYZ
wQ91cG6WRUo6apW9jd7Yn22ijfiH5+VrhWH5cepS70GfKoAC63qNUZf7XgWo6qbLaSpGQ1ekdqWP
A1WFjsNy0hyXGKWiveryLoFNDUpA+nKJkTmkj7BKX8VWLcqT+9RrQuVATVLfgQhUTvpy+on8irPR
cjehf3hM/Mh9DzSQGz2r+vQnm/z3EIlTi0a/RX0GDNDqzZ30ySXmtJq1fX6VVjTr0E+b1D62LbS6
EUzVQxdF7DeK9oIdDKYuv7okQgYxJskoi79k7HlOmWeZh3kkz7A3O5Q/TW18LhfWzdh0i2ECmEqo
4z+gH+n7yAmqT1WLl+agInzgdw22JVHk7IM0cr+TQkVkL/D/A1rvECTTQz4rNU7dEFPDoh5vXV+h
YCgs1hitrqjMm+VD90+fBMpFGfQ3mbsxXte56zIZQijLyupc8m6DXbYXHIYgNoakesd/Sh8nBofd
O/w50BwbpGNryp36MeoDsmMLQ/tuW0deI0qQSY0GfT56UjQbwfNfOLHYnDb4hTs13CckAa/S2n4P
ULbzPZzmPyPzIdL14q2p+uiTmTdfs9gtvibkyy8BgJkDCNviq92MCkjcHIL00uysJt7pnEsepemE
NzZHMeU1R9mhyYoUnhVZd6LVpE0WlhG1/cJ3uPLkl9nf0t3DZjyNv6KQJfoQpQ3xhyi7JQsced70
jQfgDUzy+1qdEfwt+k/rWvqonkrDx6yoMrLXAmPWg5mF8V3rVRkKZH54H2WFC6Cc0b6rnGcPE0YZ
DJau1G3fXIccTln9pwVmcVck+XDXwQR/bcw52PWLcvk0hmjOxNo3yOrlcZ6r8KHQggjIWMt/lD1O
P6EtrKFIBaAYmuTm89SbwEC7xmejtmzG3LhPd9VS94KtCZg6RDx3SvFpdXOUgou/A3QWcVbtn4sk
DI/j4L3fzb/uttHtDomi4XkE1X78P8QVEygIHsN3fmaW+ld3jPdUhSawjGC/VSQg9jF6Rt97LXtZ
cfJedTc7Y/93PjQ/agUzNj30XXAVgfupRO8d32xopFgDROgWsk6hqNXOzBab3hZzjl3dA+N96uzP
a5G554RsmV2LamjSPHRe13xBXujEzh7jzsHs7nqz1k8u8LjvC2iprbzgNUKb+mbXPsWupV9NZ57q
U1UBpy2Gi4FtyvM85Q96UVlvhhupDyiyLwLDBnn3qRjO6JqCDl6a2HzCelEK406Cp2qgSmvj2CKj
QTm+5H3YfZJBUz91/OHfmr7ArsoNX5GVVh/MfnILdgL9ZewdHkS5pz7Yhjl3lMhB+851rVTtoYC8
NP0VJGN9DFT1XNS5fmoN2Hyph6UWBDBtFyVO9mpr1vhS5dlOBkUaBxrMTysgwypdmgfusJ4DTuBm
cOrLpvqWcXRz6376AQ6XrYSvW1dyI81TM04ct1w/OBkQTY4rAWdMSTKTTP28aYkIPae0ekruv/RF
SIydcoQQ7z8Khkig1WfDPulTA/scC6TccpF5fuqzh6GwanFKx8b0UAyN9WrYmnIdrLTElMKyXvO6
mT8hF3iWlhLRhfl0EXXzZ+lRs/hVxQkU0DhDuoZYimOHxb2spfWkI2t8A0/SlFdqwwi6E1Z2VBTj
3FaPE+XizaQpwdMz48AFdq7I0vkE3a1+AEblIpy2qAPhnbvUi5fx0a1RCV86JShW4Mic1KUtnXoX
v8esc7bIPLVJ9MzJHd56yTXt9b6l4s3tHPB+BBSoXfS+jM+mktOUEbl4uWV6Z83UnbNKcT6suvkK
xwODcbmFkgyzT+vx0Y6z+vL78IfI9XaIHIXH4zTt1rY/GPMVrYZJ2cutX2F/gYnXJbd+2V4aQ16E
hyKtAbs1Oop6S8mLKmsZrkaa0pbLGim3dQ9xzWzmeCdEG+lD89RtTkgX/EOICGBxrxi0Tonnszsl
PwQp9ptwiN6okwyu2LJt9NfABj/bBsPMnc5pnP9YrSRlYYnzFB1Tl6zlfYCaFfggtv1qh/4n+TMl
ObpNymen6W7GqJlPahtYTzDVcpJP5eMaoTtJcMLyfdpvIa5WmU/bUqgd7IFZHKw540g/6tG9SY5h
501K/+oMTvopLuaLDEpXNxZH17Ob5yqe+1cvsJGJ8SBWyeA0ZOOxQL/g1I3q8NjrEM9Me5EP85Lw
KKVu/FOLR6CvJBOWOyt9CMYI2s8+GHPnSVxWeg9YzFBOHkJh6IOJ/Urglegs6p5+XkNkYOdl3XD/
bgMxOaF26TEzFtWxOCGhXgSJu5emYSfjIS6Ceh1V+/STbw/acxEp+rNZLtwb5x99Zz9E5GGRYjT7
EJmjRd9Zmv3cThjxQQwdIPujs40UdJgfRQp6DZ2gvwDEn765IVKdhmb55CIJ+23FJQwPpOnbJixd
aogAGbHN5w2V9WxQqptpGdZnbL0SSNZUj4Rm0XcIY6ISsw4GC5vCdoe3sivrmwRIPBhAALQLLQMJ
A/PRm4cbkszWZ+nSJhInnhbumoKlwwVnwWd7+gSV0ERTDxUdf0FiyMVUNefSJdF/ti65Q+/o0Jid
f5OWrFHySnvLWdgXy2oygPuec7Ea5S/pkrBf042JxPz6wogiF1pZrzBmhJ9s9AvhhAogecUhb2hm
tUyqh0n/+gGZvAGckwXqjKANCvp+nd2tczesc5JRgC15YwCRIuub5A+RNmvXovRQJEmXtLDmXZOl
S8bFC9QrZnDw0mZQdauTVf/BI0O7rsUy361ff2t2BiTSdbQa8tfOcJJLOhr6c9PBwikXMLzUFsuK
d1fjRP/VrOHtSKlRgmVUSo31EixzUSP0X1QNC2TAbQAsKKih2hBFP5YUCsyL2LypzahNh8luc3bH
QcUJnhEFsftpt87JGn+PCq4maZd1TsbOah9mNSLAlzIqPksGKek7CDppEp9WXvXWllyUxMhdbk/1
nlNX9B4obZkow1vmCho1gDdJHdkp2dnSpRi0yg+JHJGvWu6Dr7n5PWJRp0QEiwZPfVkovWdDZIlM
C3e1dR5abBeAe/eS2pFkTtq0BvzIsjtv6Z4qHt/7Qivm2KnZy7urC7uzYi7t5td4p9m0tzV+b688
xwwRMTv0jFNpsUEqW/fN7/CZlUtINvxRUVzncdLDp8bU6nus6dBBzYC/PU4YrRxdjfy0BEuf3DUF
ydVovNumy926boN4C0fF+pRUJBVBrPBi8tKok731XveUDao5hIemLA2M6qygJOGXFlf+WsVV7rZL
5Xvh+/BvMbVdMxL0WnLfLyKLywpbiBFhkqY36YM8m7YHVNc6n1U1KC4fnJFldBkwSOJc3kHWC3D7
1wDOcP/M2JZSAEXIDHkuojtQnGsd4OBQaD6u5EmE73KXfpkrNKLIoz06HVr8c6rqL1jR7bU+1DCG
yy9LhvZVIquG/GAyZ8/SAonzNRvLep2HoQg64cjIXGUQA6gBZR00G2XVzgqdg9sjKiCjSoWAvbfg
oqSpm6hDJyaKu4X8QFGF4JVeczpcmvLj1jOqy6E7o/kU5Q/wnUAaIccWXzvfgGqQ+fM/HW4z/uFD
Kzx9CNJ8Nb6u7TXS83ni7rFCi8lxqdXe0XPzoWpH88FMMeaLKOIUS0tTNH4t8NP/3EqMDv4e3eg2
Okpzmzw1ZdTvtk4vrvaADYKrdK2jW7SiAvVTPI23/50zkaT0sF97CB21RzzO79e7rc9savhMTopR
dJzj9fa/Bspks79S4MPBaFlpQGjkMinNhFp/h7CUZV1CkvwTshAJvgyWPayXX6O+xmOMGhUDsQSC
BL3CSH/gC8JoToiFNrBaivCza/+hF7H2LPDcUuvykwpz8yBjcvHKP9UlQBpow74HSHyg9V/skGxv
e1g44rvtt27xYjmYXYYv3PLfAcoW0ePtv0IC3eU3k7tZd3c6+gb3W/86Y2trQ3Cogyx5GWxXm87e
1FeXNp+fe2XhvhnNYzrV2bc0wxkw0gLvwXGC9sFti/pYzHhZlgiR9Wjj7A18x2+la1kv/WR/RsDZ
+U6pNQATM7uXAb7/Vwyqds08O9+zohvvMiol4A4Is8HVeTlmN12mafdwpDGpX8KiQvtRWKhPondL
IlNH6UjioXLGKC0mww37nMNkgQHv/ei6Ums+3HajF+5LBbEc6VyhdeCb44+hay8boPGYDKpyNkyM
BAd4CCdjKZoravu3q+r+kxbWzgs5opvrdfVz46B2egvcyIdJk9kPcwa6AbgXDPlpjD83Ue7uDE8t
jhgjzvm9irfwaUUn9P5E9Ws0vqr6boJY+TV2khilItxsSbgaX422ck8dSFVS1zSDwRh2toY70BBb
lNR4uB+n2Fh496R0w87FeipGCAx7ORcj92CXlPx/TR7pBQS9dk1V17ycGRz7zoifPCcNzjGlm3st
dK0r+L3kzgcrvrBM6gPim84XBDpaFJdtBW5Ybh0gRlvsRXqyp5VG9gsJFxzB5FYucaNXnJH86LD1
yZzI8YxdVbnd3sco+tOQaPpjzzfRhpaVu0H1w8OAhyRn+39gtL1W6Y8DItXStUFmlSmOPsSiDWxe
KvAHZ9GfCwock71wetgE66ZoUbYzO1x2JqTmca3vbfUg41HlA4kMnb9/07iTZjrH2TGbahxYNziI
gD88FPX2YLy7ozTlssZMXVgs0MCfrd2YPYkcwCShre/9Bb6RVoClY87QIlAql/xrmvvqp63DAroy
Vb1CRgM5VFE8ReBh3oe+Oq3zzEUTFaCjfdLDvoNTQ1P6MjOtromjfJYumQrf8EdmxsgSZQGo8dBV
3gZk6E/z1DUnaXY6OOuqR4FBmm6jfTEyP/okLe8FwWXzLfGr7lOmdZ9rq1Pe4mb07mU9xFJQKwsR
1U+G57np1T+Xm6II1pvx/+n5/8QEQ9N+i8ihzW6ABn9cvdkAAI8GdPmH1BryBzeJwIcBxvrSuOGf
g4eMvwF3GSXw6o8upyw+G36ArVEPnTCY9bPfdCgAF0qzN9Fm/lnyzg6rpPtPVPs/ajfvHo0O1PXk
cgiPXT376cP4xtzJsJ4Um1OUGjmARjAC/KkG9hcf/DwKVz16FO5ivlOn+c8pMg8jULKvNtXFswVG
9q5C7eG7aX2SBWtFdY7mnA8X1LrHL3EIuW15oVI1AtRP6g4PxGp8tj0g2R4SUa9JMF5a27DPYWg3
uykdOco2HWifTjGP8ueU94T8dTl0n/K4M2/r33p5r1jR0CGUN+rnra8Ok+BoTlThVVmu/rW8Nc8U
evzosvoPbbXGeIDl5c7anVQOt/61zLiMDhOJVhkNOvMJ2FVxaAK1vE1pOB7jtDBfnQI7P1WPg78y
Mox8IZl/z036KSi97ruhm+o+Z/P0TK0C5DMfkfvONpN9Ymj6k2n52S7sTfc1AN1zjL05e8iqLHpA
7EY5uqqjvxZuRRW4qpz/BAdkjLIvqJ08ekvS0F+yiXOLblVEcvHotik5RN/NtHUERXXajkR2ixjK
ErRNJE/Uw6WszLtF1mcrzU2enVzaUYW1RNltq7WVc0kpa4uTkS1GmhjA/lPM2yp8MpJTkNsBePg+
jG2wF/CFwDAyPkKHyc1DPqMW7Lq8KPEL/x/SvqtJTl1r+xdRBUgguO2c0ySPb6gZBxBJgECEX/8+
qL2NPcc+tb/v3FBIWqh7uqdBWusJUJ7b6RiN5igTExhNN7noro5LeeyRlINjHoOZCp43Gzx+QvhB
FMnaoFZ5yoWZq69GbNifSWarJSwVI7CxenLRhwK8zaOd5esKEnL3Lt2fsn5XYoV34KOatu5yKYyU
4T0B6bLxcj1Q+km91lPiVgbzEPDQwi5g3qzw2iUy4vURAlfZpR91/ds+kCuFXOu84V12mQZ+j9WD
JgE4MIA5y1yHWSoHXdFIhgNEFkfOiPtVjOo5rUELiMoZap1HSm2J7MpL4iHpnkJ58GYy60G1lb+r
fGnnM1b6IDXIjgVLszb/OdUB914dcI+tkQxFgTRWC92pg8ogqJw5rMDFNoXsSx0lgO9ZpRMcCu8B
vCr/CHc0/9iF8MpdkFFctbfw0M9ZAbeIqivbzUDKTzrQR3EaEIxxgq7y9mFVcxjvjXFp3/KlQ/Ah
6ZgBREo8v/JuZzi5uapAaR0XKe1rrji0QePsSwc5LGiC59mFQQ8CfqShXsbcIzR4zmXWrxEFMMEz
Ahh8xBT/xBltRkVt/wjr3vbZ86HJgG486KEdbkHfzqt9/ilQTr8o/a7Z6lHHJlv8b5UPTdqYl4bG
n4Tg/BNcuqx1wTxQtx0YMf4QZLT4vmUyPFelnRy8qvMWFDvhNwWsnRZkMkB1w644As8T94+l9sar
Gg64bsxO+KPhqxSHL00LLKw1MpBNJ/kwVhs1O/236+DN0a4srMXhAMjEKaLhuQ65h/xdJ06unYmT
7tdnvw+GmR8BFjSGjAOQzfG29XjVdGkrM2vTdekry6FE01oF5NyBjvBHTEREYthajWcQTQUzT0b+
4sOADuataNawQkpm0xXTLOPfd0iyb1MP/iGUhSRzehuquthCQU0siioQWzg3QiQzSYZzJHN7Pcgi
3he9qveJWTTrDr7g0DyECK6Jv+TJjGGx7fWqfSvi/AgbklFO9rmEuUY4q5zkXORm+AZjOnvmAgH/
qCj4LcAmY09czZQdWOf7QZr2Gb5y/cKwG7r4MJAAAQ5KBfIp3PCJC3LZGO3FS9ICv3fvC1VADh5U
WKFwap+ZOcCmIDEqvtGvpDt7kn0BHqeYAzwNCJrBk+YU4H3VOT3du9LAgyCHTItFzMMBdixoQhC+
h1g0dOCwPE57wMNGMI1lB18ABbdxrx9brcBubnrgwUriC0mAZdJd+oLpQRjT9MULk3Kt0/YRsb9z
C2bDuoUEINbF+nQ6fBTXinP5o3LH6ls1ygA5sJ4UKXffMtdE1sNw2iv1PGfdQ1116w4NOwEAK7EH
9KpPbW1c4Q4VwCo7oNsQYKhctuqLAe3scQNUPto+DBAVTKgOpq/sHeylwDBJg/qKJDvUGCCa+Bpm
OWQBKfkewwUA4tu3tOrsY6vtJxS3Zh+asozytW/aGTIKEFSPkZ7f1OMtXd+X49GUUlr0Sd/gp9v6
FKsHplioPT3p1tSvYxMOH0mPw3vpaAWQT4I6AHxpsmiYsxI0Kt1k1sAPkoXfdKsHC+wB7PVbHZv9
UQW5eiBOFq8Z6OFQlsegcvPuFof3MQ9cqPkAyOfaSIl7hjHYYtLHDaQDxmTv+nPU+M0UvJDR0a9K
zF3ZVfVtUM+9E9WnZAghNkwDvkHaFj7FkQ3Q3Ng3DbhY8MyqsvrRV49nZU74JoLj92wKxsPCC5Lu
oKFLjXBcuPiEn++Ipw9wJg1skkOIby4K7vinXuOnkIBYYj2Zz3TV3XATA2zMIZn1ImdQ4n0sAEx4
cFDXewxb2Jj6Q2zudWhHEx9kBcMa6T72ElaxzlJ/Ka6pnpk7qJ1u6QMAMNYmcPFXTV9xb6x82YdQ
EHDw9Nj+AkgEDhUsWgtgrjtqMUqgnDUjI0xRYxkt1rF4iwwlgxFHO+xKmplzD2KQa+hCwDuIQVE4
s6ruAkZ3fTMLync1C/GrSkw0/Z6eiwBqGLwG4GoCxulf6qB/x04tyxWqGy3sS37+ru/LVz2kr3Qs
SFYnDqiCY9HYHJrvnVO3B10hhmxttYw9Ku4F5ioRyR70WpCyxnpzJSB+ZQV7kbrJFSWgRQM3NKCC
WBossjwCZOknNnZCyab9rRO2c9SQWSSWorXSOmNYyhILZK50tCTRZN/sYAf18KA7jNRM5o0nIXM7
jgecY30zhttQdwLlfSxEj48lNh7K2suhcblMk8450l7gmaW79CGFh/PYrxshfJzv0IHKx6+pCPv9
dBhUAeJYTLq9qBpRgjqItttWEO0uxE7H6a7pCn3mdyYqScWplYTvGxaVwIFCfLwBYgqWMHn0Kcqz
zwCHtficf9CnKKtuHc3a18gbGXhBmNy6qu9XyoogLl83fF/7alOXlM5gcg6xofGQgjRzMhQLVhUv
rPuA7tOjwvH6UwPnIQ5P5oXuqn0HmTFU4teC+vkG1CBYbDmyuoqAwum4Rd36XjrR7aQq/mnHVZvv
dJuVQFDNszFet+XIUiqpgtOIDMtVb6KEQh0VvEqvgJgn9BjjVO18VBA+d3LUJYFc9qUTgwUfOxgq
G3Tgl98v6kblx/GiDDm9z8N4kf+Hizqoc8MqIa6hTIoMeGUb9gmZunlZwP/EtHOk7WNsIiHCEB5B
XMKecDw0fgrAthsmm6kvBDwRgkVVu9B9egIHFK2tcsDqLsf9pO6z8tFilKGIIGGhACItDvpMH8KM
wLLRLfHEsMwfA1YXmoAz/NNETnFUHm5Hpxdcqwd0yDRL4WTprKYAdk59H2YpZAthkaIGz/+fiadJ
WNh6oNEeph49z/Rey8pItpwMlw/9SYvN/1DE8bYcv1HqjqAUcF3u37cXdL82CTYzbVs1Jx3b2N96
0qZXgBLVrgABdnb3ywxcaNZxqhi4k/DbdO2uuhCjm9/9L1twClctlWwxGWiCyrWDUGJxwmbavGEv
syUidbZ3iIQGT9wRGOVCQIrojqyo2gqpAt/aDBaHxlTmW7PYqm1Yydb9aToMLelPgi1LX/CTDtVj
unsAVmgdlyCLTPEc1oc2AOeYjvsZ8DHj9dOwnqGLVnq6qVufCav6dboPLzZNCVT+Bb+JeHevLMWe
z7YGJ7cP1SldiwIY9JbqgLG6NZWnmoQayzDys/lUzppG79Wqqa1LY3yMJk1gLPUL6VFWzSH6HVwM
N3h309ba3Wtto/woSuBfdJcu6enD2FVLGDDdK3QQ0Lg3J0A3aMMGsy5ZmIfnwWDRE22xO0Wln+25
JfhTUsHYmYAhs9WjLB7KZRhXdKWbcGZH7aeznIUOtgYUsg1WibkebUEgAwQL/67hOJWqWgO4Cwfl
ZLTKKLUeCuezHrpPBkcVf8AzR7dKKm/6XaUW0OxIUL50+O8CiaeMvlLSmkBrjE142PLD/RT2TDiF
cuFBn0GLkh8gBlIjjw3ApHDerYi4O9CJfxzI2HSGpswBwEWn6RsupF694ke7rcLqP0916P0qPcEf
29Mr6RgL0JQ5ZJ8VkhD/vAWmX1i3GetNWEFWs9oIwkMiUbP2aRcdpiYf+4qhT0AGtLuLslpv/SEE
RcdUzu4xegp9DetIDDcWWIOMU+tL9OCHqXXfNKDjkCl6T4hHVlN/gWStvL/LIlPDyrMyaIgCSbOL
YYS402d/av4vfR9m/u9TRX97G6mMgmQ2vcH/Pk2StXie/Cnmr+/GtwuwTvv+oq+6v9x9GtAAfnvp
X8f+NN3Ht/pr/C9j+tL7K/zSq1/9/opwEQOzV3f8x3v696/766vrafSlMmngZzDNPY1MfR/f1a8z
/Q+vn6UAPXz8gn5p//Kyv5zqt/XndmUPuF+xoMSWlOe7Yjzos9Zxso/NP4XouBFPttNnf712Cpni
PrzaX6f6F9d+mGp6p9Or/XX6D9f+i1f7f5/qr59LYxhXCHRD9Hz86P/6bqeB//ndGnBTScBU+O2b
/hd/9F8/U7j7IQP2bz+TaZrpM/nTtf+fn8dfp/rrq/3x85je5fTJ/3Xqv4ZMAx8+7mkqF5pkPAkh
6tLA9s6b9VhAnHrsnudOK+E9Cly5BdghOqMRHaMa0O0TkflLHaj7ptFWxeA6jKPTwH0GIFkxQhwg
bsdpINb8Y0LdDKHUM4fUHtwkhgKOFbJalKQzj0aYd4dEhAbkJ1j/6qHAXefcfvJhMAz4nEnOajz4
3PUOccqgfI+WPnDQ2LHpz/p1HsajqpI03PsVYQ8wW0Ib6x6tA/UlyEGgKimK3TSBa7ThGVLOH+b1
yQAFtRQ+oEHnh89SWu4sb4dmX7YkekYJuEQ9OXcPcVdGz67Xf4FaMzyFxlYeQ8wBtMOzbgEHD+VA
EIp0qyADMlDQDNKzhumD2fp8JqBPsCqqcjSaghjW7pdTGoSVPe8AH/rRq6ZTHYv0h4SYXAzBGA5c
IcDhDnSaoTKx8NzAWAefQq8hzxnMnFEXKh6UmYQvXe15uyiK4QNfEQgZBdheky6rV3pUFp2a88Sw
dnrU7vhTh4LaxQ1c4C9Q1LTGcqiAxOssA7r9DcS2LxBfsm6RGUNFPeKjF0LevrG8m6M0wddZBQ+s
gHTtmUHB9gwThh1XOd37ZmHzJTEgLQCpmdMUUUAY5iStN93jIsCFnLPy93UNQ9RxnkKNOsJIdW9g
6eEfkZh8DgCDgKuU2T4GEAYyBH9kyDzA5O6AZANbUZien12fArtXQ0dvQEKGRcJ9gtGZDbHGNoNB
IJqui3Q0ZKIAKhqbZeQFa8DO7QWk5Z0n14FNJgxagh+j0JVcD2GSgxSEYNJBRzcDCnepg/MeXBlI
KDk/RvuhXMWq4ysdnA+gD1hQaFnpYEopWULFwL6PAobaLC1fhZCENTGzaaXLFBIgax0sROkvaG9a
a/0nECS14KdkhBs9c2r7coFts9zoaykBNlsoh2xcA65dThkh44+3C98mlR8K5BNefBeuLR62mUOe
GA++4cAiceyOaHGMaYea7TDEL6SVfOMkZbrUo5EJq3kD6vNbPQoJva9g2wQnKor26NfByVRdvGCe
FcAA3KgeG5A1Nx5pIbwzNgWprVOeeRej66tH0lTyUfXZPIxFcosr45kCarYHTW1YU5GIuappBye6
FrbkKm93ie/msBzLvkALMLnVgImvsxE8n9oFWHu8b+MVMP7QWfEd60Ul0EYa7Kw66GZDKGwb8Eik
o4dO0ItHAS5pwQDwLqQhHh0zgWIoRBB2aQJmFn4vwaoUnQvoHzn1aUWhRWTTKwHGd6tciCvpvggU
4yszQ7UqQ2h06z59EBn0qOrER0JovFbH2SWy8iiOpxCyxVR6wK78s1TKPHA/jkaHs9tAWkhbWGBd
JGxnNxz/zoHbIbnsCxwZ1P73+qCHOH6692ZtZm+9hC1ZBGASH2Ce6MRl9ACINnZ/TDbPaSdQ+oDp
5WfRiFfILEGop3fgwCNFvaxD2q9QWSjBmtlNBzuREv7VY2cdyB8jAfLUs6SBflxHRHUK1dcmUskR
ru6vXeVna7eCctrAAwoEqL2IIMNjefYBho/DJXa6BW/cdJP2slozUYdXbP2duW0U9CJS85SDd7qI
gMteq9TdVVSCZgucxJwkctg0ntiltGZXt3LY1UgAZ7YH5H11nyUopDBxy5nJqI+vlsXWMXQGjxk+
4K5Ngy00JA3I4eFQ0bBcGyzMZlBRMI7McdWqixs5A+qqrqG3DY7K/VQIVJkLpZJlDWWQQzOyXfSZ
jvGQI17WZp7MVYR8kgXQQ97Sc5Zz86J7kGIYDU0iBjQcAvRA5ZsdRAihLq37KLMSlOdymFeMFfGO
fslhC3mabO/dGr5iHJiXhe7Thzz38wthT/BVT84eyliXnMxzmIQ/egl9jCGHcCrTunpqRxioA0La
0ZBh9QQtPTC9wQGCZBA254EIxdW3KnHFtmPdx4Z79CBpACwA5BTxo7uNApC3gg32ghWmsYjGauBQ
dPk2CYHBoBFvRrnfGaCE1TKoPHfuhWG79+p4l5add208vwNbIrKXgeTpqzKST3VptNeor/BRQrgU
VdAqm1mGgYpRTnooUvZvtA2atQOwzA014IiaCxUO7jfPcC+w74H8RjZWDCsCGXubdtvUQwqC1nH+
oPuA7Toqu4QaYoFnYJqIfEN4ORzM3qBrlEViPwKWI3PIpamEWEAbkT8z2coZnOokkDvyqFhLZpVn
tyiE9OygD6aER+DU1GdUsGyDrPRDXjaQQdd9yhkLfy7pFilx2KqHK9kchOr+0Hvw+g59G46QzEo/
wZNp7idGPoegLdskpWs9wXssXrQEghohNZxrkBpzmEQNO+WOn1AFN7hlaaTZzGjipz4as9Qo79pV
1313+vqNuI39IkIfeLs65RvItuQrF4BhtzvDCrU7R1h/bWlddzBUj6yFKBIyd6FefyRZFex6CcH6
wT5AyBdiKF7xwE26VIYEbqF3P1NF0oMzIFMZhLAdYqLIjx1IistWtcOLUcPOwVrjSWIbszwn/oUt
EqdzL/ocrFj/UjrWRRidCxwtWmFQISam/gyIYrqe+vqKFcvQktZCX6UHrHgwN50FdcupDwp5xQK0
x9fCxE65ADDrKUjTbylvrG+OX80G0UiUP1t/BipKfms4RE4734TXu41MnFAGKHyJDyfVPH/NYd5Z
+DG9KFRDLl7KvvWelb/WjRUubaraLa0UqgdFjdtZIEDoVfmtZg59rBoP2Cqg35jy6lONZQVEt4Gm
c1oOvnlSi4UezQO4mUdDaa+Ntk6Pdtk5MwXopqSQ2HTVzrJqeUkhIPQ4CLA2Xe50wCYxbxO1Zbj0
gAhZdGbtnjvoSK7NIRZwKfZduLSBZFR3cmO1UqxZKbJrBGohxNzy8EsWursyV81LklbI5WW03Zp5
1t+8FrdHHWHy/uqErf9kRjVMX0Aq2nCrCB8hDfye+pDVY5nqT7Ccj5epbOK95Uj3WnsMq02I2L1n
sv3m05bdFDxhsJqECHlluuVbXqwYHNJmFpwMH0nbH0O/tT5ZTm4t+oE4R/zXiz2kk/KVl3MA5yNI
5oUCVleF6OaZZMl7DkrPqKwgL14MNQ7WVfsirQWS+XGzKpQlb25ECohN1ey1j9zLICMQBTL3aLlZ
/H1w5DuYX/bLwLxw0aL0c4lt+M8zaZhrKLZBQINDpzFC8cVoEpDZiQX4GalOUC0vvisyytObkFDr
HahUFdmDZVbuNydxlowR6034bTmHY1R2Nd043pgOK7eFsNNlUzTJvA7wj2o3Dt2MDKQLrxoyr61c
wkqqAzgC4DQs+aBQm1av+C75god+DQ/sqto2CrMBawiSQOWU+NFfE0iMPYL9yCB/wCEIV9ZiaUEL
4myLPoCav/AOYQ6eY4ZvbpeDGI8bbgmUaRteoF0NuLqF3VIMd+tzmTj9yueQjw8Dt1qXQRUemV1k
Gxi8+3tfJPHWjSJvVxb8u+tCNsbsjMOIdYWagg3h96Lc6pbu14d2jJjCmsh9SxKi1lPXFBaFqln6
SYeHrGTOY2bn83LI2ls+tuA9+UYiuz+2TgMjq8iu5gQwsK1uer25RznvfbBpdoK3W3GBB0o4b4TM
1rqZGk1xSW3gW12KFPsYobv0ICr6wAwaTQBQQloCYwxBopyHalH2bT1LJPEOLVftk6IPXRPL7yDg
zfFAApiEv1rC0ypckI9ABe8yxPV73lrARvnkawP1bJbV0LqOnXMm+4toI38XticHxPy5Gbs34YUw
F0Rd0JsrmMuPsDfglbOx936KR0U/z8KhWMHrtNk6BPAC0Xnls8186F4QIHN10+9ytewk9syRzboZ
w6riaoNkcfVArJspy+m3U58YkvemY2w39EF71f0Jja6OWwmwM/CQnrcd26RQGDzqQXjvfoVcbwZo
bQ7h+Vaq5xTCILsOSodzOBxL7ODjp1alcGkP+qeAiXzhRfKzhkZC4cyCWJMBGwnd1gcA1NBZROG6
iAhM6RGi+zXWEraN3tbym2NpNtGeGEBrGwHuvVjVdDPHVu2JFblxC3r3jN909ioaKP/C7gZwl7Hp
N/4ywKpU0IPhZhyrqbjrtwMPb7CyyA+R/01kcbxXMc0PnVNdrLiQxzy0GDxOLXDVLfPJrPz03Ijq
sXAhGdJ6xWVoi0+K9dZROMI6gvzqLGPDqOZNGMXXICG3ojStfTu29CHuU/x9ntppuJUHOzNYcY84
riJtdo5lw5DWEeAtpAzfJyyJmYNffJ20lwq29e9W4fFZCOOPcx40nxpO3FWfNx3+B1L60qcSfoq9
vw8cni/LMthRmnSbBDuHvXActpY1DOS6BLkAhvpRkXlsEaps49f+NRbC/w6IjzIdUA7DFpwLkCu/
dB7BzhowoBcXTMC5Qo1p7eJ1gAyBJq4V0Oad5u6LUUGiC1L7s7wQkMoN4RdiW83wxgLzLHGDvHl+
AGkpB0/YGdR9AfHsy3CuxADurkBScVSaWBqeKwHR6OFER8xqH4oAZVFe+p8GAkdce5ULrr4bql3m
2H+GM0O80fQMnraz14e24+4ePtW4EcXltWshYT7UbTS3wS75kmRkkQS9/Rq6xdGFzjz2XhC6B+c/
WA+p574ABgMCtqre3IJhp27BMrdsenLry+odxNFgg7WctYmEnKWB4l/hcNHOFC/CFbc5Ps+mVA9d
V31OeQUQKZCWD8FgG9CfgvUv7jVbcGKCDbymxAlGrMUSuBhIiMn4QswS+gB21L+QDBBFn0j/tSmr
rzVwP+9ZrK58YOAxlZl9Mjnsa/ySGyfl1hmk2NKvIqmdV8J5hc124O8S+AhcWBQ9etAkhkOf9VxF
rnUGvO9Zt8q2lFh8pPWssMVYUazOE5aImxBD5TKPV32GVbPZw50qi8zHgnbezOR+vW9g3rGo88CB
S40IVrkEhUPAyG4Bxa9uNZZpt2IscfpfO1gnX6F6GTiEnUTo+rMEuayVnzMsWnCrluep0xmbQdS4
C5RFi5kLST/Yj0FFD8QpuE83kO5VgK+ZZfsZyFH3DZiL+8nY83NIsMH5PcZMOveNIRh6NN0cng35
qbO7aIbfmwB2xGWXrKRf2iYoX00zjpahLbuttrICSd+toGQ2oyqiC/wJyPAQoKNgdK2CbQRrgnPV
gSAE8b7oPcKuUPSl/+T6bgnaO83WJff8l8wH415W/B0JNDqHr5Y6VmBuVNVCKw5rGWJ9plWIDdK6
h1w8f+ieQrF4mkMjDRL3is/8aPTzsEOkaFQvl91oWu5ljONfM023fWJmFzsr80vCHbjtJuWbjsAO
d6S+Rx7QiqAn5quQhOBnwDjoEpS2heTlUK6j3O8fgrKCdf0oW9bBVdDOevGOhSZIosiet4N46X0k
uHzGkXdjYfGS2Fm8CMKCbvUoNZtnQ9bYfvI0fk7bq+4N7LI8JR40hoNGAPcByY1669dArYFFmy9U
RkBOGTU0QcOgX4DqxEIQX2lv4MFlBEa6xhsVN32oCF33KrZOupXbXK5gIb1JI9iB+Y6Lf0WY7322
w41hRPXb4NiAnxHL2jpR4D8WiTpD7Lx+A3qtm4Pc0h69PmSHoc/4IvTq5JWJcKWBzbYFjpUFoBBc
/AjDrwvytL9HDA7+RVsunB3Ih0+2we09uJNkIYiM3lPjBYSA9jOh3FiCgOpuIe+YLyveOLMK9Els
1nJnrmBj/SAgg3jtIQtLjdp5aFiNJT2Rb0Q4AATaVbnMjBwkZ/yVs56A6FOkZoG1gAe9Lk3ylYlc
lTLaWVBIOA2+L58LN9oDktJdsVWvnzN6zsO8fGJIcj7gFwZSBXpdOwnOQ9A/FDk+hdBN1cIOuxKm
82ZWzGrLEGvllc4e3sw5+J+wgAIb5aYPlg+pChlDJgtrQ5XMPVA1F2HZpSt3gDmmjilbD7hGEzpf
42VtbzWXcZJIwb4dHpawYPjJx3JMACIHrwnxEYGjpQ9A1cW7IPFf75YcjXs2RCxAR47wkRsOf+FJ
AKsMCLa+6L7chqf1hzM9mgv31zhDgOcjvHxm98Ynrl0bSUX3ht/GZ8AxHeQuk3gZgUmxIqNowdDG
0XGMBUIjnhd2m6wczfaY1iyaHMJSLMC4pN5cDximjVQBlnJGtwA6T930GUNm937m/zz70ygUk49M
/0RUaGLpyGYutAm/ZjmSdmaQuA/Q7c7WfYENXOFSON4OEMVgAxfvYywY5xT7wtGhwwAFhjQUGHNC
gLhu3OEM+eEW91WoGrUOZKzoOFD9PqCvsLl5jlX8HLEaoCIekycO7bC1bsrMtp+w37HXpUA1HXzB
xQD36p0BDO3FqKNiLgor/pp+cwpCvzhgT8BNHtuOeuD2jgOZt/IYMZ+DZLgZIeSaSNA+5QNuF7Km
CroujVwGmffES5MVYEhGsDQ3TJIc8zyOTiQt5BnfTbM1qvCzMgO0dNd4CLFV2HKPf9ZdWVQWm4jC
XQD/l/hhhsUX2BXwY2Jxurdz0SBXeWndpjtyTbUFJa07wvMGbaBHdhDydTP82NYRjLMg5IZcegVG
7dyqsUFc4eYx7HqgJdVIGOE2RKBp4ZcPzOJqbYdwCMpA3r/EI6jO60Evao0+h2gBbt6gCdpPha3Y
os2ptdZOaD0kixcmgy+39jrTo90YbI7B1RgsJSDydtLxsy8CeZGhvemYhNDJqHiadQG8YNP0yivI
meI/dvSsKtlODwL1DDiuROVAj9atn+8GWUBla7zUV6jiQKF2LgNFnjJlpKs6lSkcO/CtQ3gxWw1h
VSyFk87gkon7ld84e3At4ZA5NvU9zDTCFbS424vuykIlF0nk4Z+UjdozAtQg04rl1VR0gYedfZqU
9MauMEzJqWB+e0nCZG66YJYiVZM/dlirXWMC61uNOiZp8GzUnnmkI+6Y4h9wUUgSrXWzc3my05ca
HZTncrBrZxEYRMgWD8nBJBTqwlM7I/WwAB4H8gfj8DTASVaAMAIZbZPBq0PGcb93kEB7cizchKGJ
jNwFyWCAioJnwYro6xB+t5gwvqUgD5LcgEVcXQMTS8LqSHoe7lMGJJYjo+IhEwmKpIMbfpXt91oW
0L375xqaDdkSnt7V0awE2fLkqgK/umJbV8zhCyPX9zu9bls+EHH1OOxT1mFZMnQLIvtsYVKXrzQC
VR9QtIO8kjR/9GlsqY5rgbpaDePXoeMCga2lTaSDHxhqp3PDABY0D2rxGFLgT/UZ/3k2jRotqhI0
NpFaBZeubhvvXDjCx+opVO8pZUgmSPs5rsGfGhousIR2q6emCpByR0DHYKQHjcDw2iWtQGYIvni9
wwkeeysdQAO7hzJcbuwoe+xHW22wwFHgIFt4GWb3hu5GbSLeEEFRZBqjptCaUm8W8yJd6wHo5MO1
L4UvZkEYzEOMm16v6g8aX6e3Jwq01PFz1f26i0t2u3/0uukgQg/S0RLcD2q2D8BqSAg76LUQ92m0
C3zLn+umzaRYSggZbPQiiHTwkKY9OKB61Gu+ZzS0nqzSHy594zxkqaG2uc/B/E5bqI6BVSCQbYdn
cPDzLKtNFF4qstf9+jCF6WYWJxBAknk5nwYgCZmuCR/SmRbCDZtAHVHgnN0NUXWf1sTFs5Kj/g2p
Y903DXgRkm0uEPPzqQ9JW3PbxvGbgK6n5c/M2jvTGtkVDUXXCHUNWOcg6u3gF3nSXXpQ9+uzFtQK
yPeABvKL/PPPK3RIZouIzKbocozWcxGVr6qRvqZ1F7sgLXcEctGTpKPuT7Q/F7TXgP8Gmw24TwBl
kdz9Cn2BYd3Bo3Xd0LB7oc2wvqclATmfhzxxjnlT0RMjDVDthQUfIxYeBqDIns1oiDf+AGIgVf4K
CyRzzxvhbfK+NfeGCv/jDFtob/OnuNAJD7V+VveQmuquWHxDs0ccDAE9JL0gYWNdInD6YKsXJC4v
6CYMLDnXo63BoD7nd2eYb3nQMsOzAstJkOLHpn50gELYYI+Jpn6wdHms5lLCZoGkER8pKID/G7Bd
hpZbfNAv4XDTWKU+7i16lPhleuFmtqZFSM8OimF3BdSeHqNaWocfAqhoGsA4HPSgnUICvIfG2hqZ
Anlr/BrkqtSPoKaGJhSc6ptIrijsVVfdk9T1+DyHur0eM7IMQrW+C6m5FK7AKX2VqOGLpbLHTYiX
hVtN+s/dwVhZPG/ASEWBhCUBlMRrSl4Ej6CCxtVjaRIQzB31UgcleWHtKDCYkngZNoiqqrpBRrEl
5fv9kY7UugmJA94E13t3Tsg5K+3+c4lt6iLI/HI/NLC/jsr4YgpnX/7QcU1H/QJn8POTFTTGumS9
u4pRBP7swQeyhce02xVklfWHu7thrOAO00DYLK4y5+CDoboQcew/CQrVowZvAA7hj1pYCU5RqIXQ
+N4ax3TLdmry9DNSiyxNrX/GbMuhsIiBiJB2YCK92827DEaaJXVhQNkIdmoqiFqNSuP60GK1+iMC
DE5YVEL/p5H0HqEvmubQFzAD8j0/5+gTSi6djeqhBboACEPJzogt67HiclgGRpevkACxoBbRl1tA
Q+Rcj7pFl5yUCp6iBLEm/BEfLbbUQzq8roqzqVh6vkdb0KYh0GremcE8jEZdIvgtzv6PsTPrkpPJ
uvNf6dXXZpl58PLnCyDHqsqapffVDUsqSczzzK/3Q6BWVpfVtm9iEUFAkhAEJ845e+/OmrKjJfwL
tQE0Vunldm+sADxtLeqVzXqM7OkGg8oTtXqlsN621p2iG3686QYQ/a8ea3tax70bF0jhznFle3VU
w0YvI7U3WCQMzHbzFVq55c4IC/k4j85LP2fynWiyQCtMvhElDlR7icF8MwNdqYfVYVA9og4zA1Ws
ZDm/Ey/AMpfSLRbWoxj/ognGN7hLVeI+15fmDwcRFtneIdHLQfJyF8hTt1MLXLPe/+2AKFjap+uv
XH/590FWWg7HtmYCGvKiOusgQc+tOVRnUdVkFcnpIm49wgk6Ys0TBmI7FzuTkecbqKftqggmERy1
Xgm8Mt+NvIGu1WrDUZ0m1cIZGS8Xyfmx1TR9zm/tcTjJOOH2oZpz+esXXXy9xcffiJXcrfOGm/17
xzSO/WVgwhA99AwCpdh0kn1PbOthmqZwz2BTvEUmqtHMefQgdsya8YBKa3yjzE58KXPi7sMcP9ht
Ip0cGULEWMM8nta2lmi+4uSON8DA49VqW9pnuBWIveVltw9l+GT9RAvku3yFkMRlcmNhREDloBWu
EbJW9zO51m5bGdpf0GrBgBjf+HfJ1HSrAz72zTAjflxB4EMMwcKDm9YXUUgIUG5bXacerBCMoTrb
kwcSu7nMhYFHJQqAyMQVRJEWyzkf8FZz6UI0cwAjQWI9SIsfTU39rLY1Ms+BXL1KqpZ4oa43n0uD
lSCGbneXZnHkRR3CDAlpb6R+9AxkfUby3YbeE8cRwaTgy4xgkD/qSvVJqlBTqNu3wAiWB63T5YMN
UcaelDbbtRe9v0sd6zk1ARC3U1UdClxEftGmXhSWM5hJijRXpr0cI3ou2hCemp7yYHrJykQmJoXM
ag0QN5YScg3lrmnvse2rMLGKHfIP/S62pdSvJY3VZhAnWxE1zn6yhuB2DtA+Nxz0uWRY1M+iyEgg
hq8zL+9CcH++3OcTTDyG86nGFeIqaZPfqWERfEqU/ADRagiykSk4cCJf9Ap1PCsDaEdXKxF/DJWp
PA3lXG57dQA7qDAlE+YD52hSxXatcardXM1Uz1Ly4hxCVn+Gb+rX1rVN7EjKFZwtdlsqqXTkMNFd
FKLn9cBr27WL2IJavyAl0Zp3vTp8mbXJxNUWc5ayNv99kygUl2LHZNcua/a0qIuuYku0SXMH0PcV
yHF3UJ24Ojv1NJzMrnrRAkfdXy8/TqPJa2Z4qbqSJMRJutHVVeKL9IXzuCb6a2squLkY30vFrEje
iAzXMULJY7Lo1hmjO9etjZPvWk9aE0qKoshPI6kOuHlREGxkYtgCHiBOOi5q0v6lrKcmEkfUuCMH
5Vwp86Ulok96ab1r9KiHdK1PjlaCXZeU5H54xlKAGTDDCuQv0gLF9kTErRO3WBRbp6BTeSTbtmgW
/a9dWReax0lCNSwdivzYrnnKs2Lk+VHcwJKptQNWyQMYe4K+iJqutx2OiAJVq0KrH2btbox7YgRr
+/X2i4cp2rZHdN193XNtE1vXQjyXa/VDvz6WeeZdZAZHHVoGNCwI5/OAr90kMSpEvSeraN4uOiPz
c/aI7NSw0mQDOaxc8bW4XrtoC/ve/nWgqIs7c+0ttj4c8qH67o9fj1OGhotHjpCVazq9JLpmLzsx
AjpLzRZvANfvQ6uBF6ozpmwnHhfO7uJ8fdDXqmi7PtFrVZIqEtKuD1zs+XicYzt+UQGZikO1JK9G
rmRCrF0J/QdFQ4yO8ZxL7eKJBmai7temnpPajDLLyzzgFpzKs8HcfW4I3zM4101RoDxbv6/nMZTQ
fQcdqXg+19v17jXfNre7WzTmbnCCnaW+zTbG/hDy1V6LZL0f2vo7f6r+qU0cIXaIw65V0YZH7Nep
5JHgsCyNP4fUud3eVPFOiqJfJwKxZQnQjqiLF/lPff7UBpUEj+W65+MviD3itNsvzDm5gU2deGTa
4QVa//b1mYqXWDzYD23Xqtj6cNif2v7jqa6n/3BY5Fg1LptwcON1joxlNCd/ba71YR1BYs58t6di
UZ3BbcGuOc/ZFIeK+nYScabfh8+kW6Dm9rtRbKlDvRzaPjuKk9cwhvqLtpOgu9zeZ/Gaiqnr+lH4
0HZ9k6/9/tRWKityQwxF0fF6GtF2rV5PI4b0tSq2tjf+2vjhp66n+dMvDYoKY2D4mmkdbMzr13Sb
/T5uimPfNW5f4o+tosO7XmLz2imK62HZJvJRzLHvfkv0+nhWLK/iNARv10nDWJPCrtV0nVjE7CLa
RFVs/f/2E8eKw1I985dEbY/btHq99G1aF9f3f2yK5xGLmVxshqQ6kcDz9XojxKdGjO1eQflHGwC/
y2HIYBZTWEZArbsRk4So56QtrgmUv6e4GqWRvnu9Tq3iXH+cbtcP9fVFE10+9Lu+Y2JHEjoS8e1Z
3j7yH97jD8cGuYQXSz5vF28Wb3Mll6fVeF88yENgtBsJXKhLttdxtLCNiv2/jLV35kEkDAxxIddC
XLUVJqiKazuT4MZe3IzrzC+qH9pUcRfJXhPGWRtF8k68s4XYtEmPPup4vw7SpH+ZSWxfPGFtoSIk
Afdb33rRPXD6lzGCVTVu7Xc26Hb14jm2gyL9MjUzYYBuz1QYoGJzG8zXJ90iyysFvXkUgwayvsyX
lmKGPPT3HRH/eHuUovFd/fdjJJ9Pa5bpdB1M2xj7bfOK04ufvY5WsSXaxN4/VUXbn06Vqa0ObYqv
r2t7cXGia5eWf4Vkw7JmqP1tutVqVngQCzhk8bKES4fZhT7lR79ad2ImEluoRryvllGe78xc+Rlq
an1Oe7yQZObV5wBGzWMQ42m4G2ob9p2IGIwiLXAmDPXx3ScNq5iv2/UrKT6NU5mkizeWJSBX4ggu
2Qdv1xsjtkTRGmT/a0W3b9X7PgG9f/1GSyQy78lUvIiO0mQoPrq9rIOAU3Pq9auckVV4bIE6wchF
rjFCCXFsPtWtA5R8qg9izlmaDFOmBEG+G7hlYvSKN9sxej5Gi2myzu/DvyVY65DgrHK3b1vDF12U
Fm5/aBD5AG+F3vD73aT44k6KAlsI7gzrJK5SPJltqpoRyIU1z34WbXUSOy4ulgfTmL9HoGpOHPfh
wWSjlBMT/y5e8ayMdkoydFyI48mTehavSeP0x7THRbQs0w2GUo5XTkV9s/zGFyPd4W6ETX593Nfr
k8h73kFy8RU9pFeSO6Rdi2TE4nXIUJwSGXcdmmCZC5Xt35PjaDujneszhp6+YwD8JS7+3apuM6zf
tW6vmjC3r+N7bO16TZXAs/DbZrveRcVKiYx03VG8XtstW9eWYmyLk3yYg7b3WzR+OKSSCNtGFfSI
rMVnxJ6QvBGGaVDsSx12aNSxiB0iLsUkD/rLzUe7389T9agPOn4gskSB7R+NMX8kcOYqcNnkYXBr
JqmXL92jmT+UsWPtxK+mUHquEUcXuvR9WLHuZgQxWNaXC1op1zAqhPvUo1S2LE8y/aRHjbYtUrdV
7GZZiBdRvOdX4+BDmyZWC6LPtvlhv6j+ZwNjO0YMA8K3ezktg0Mbj3tQZNa2XPqP1oepNfBuF+1h
m2g1bmP2V9NFxuE6VgtT98gZGo+iiYg63xMxp2ybolXUxZYozFCiU4iCBfbjuNfVBfIN9Hz01thd
J47NDBaj97fJrZZmc0qbqUSfFu/Hbz+EGCZTYoZuj7Q3qJns3Qt4nUXFS7nZM84iJ0fmFNyLhufk
0XQUI5IEmBmogepBNBEcFCXbi9dPPHEiba46xPZRDL1uGbYO4rcznG5+UTbLZiqKK/vwu39qi3pn
Dc3Gt93Al9mrJlPek8V1v01nzTjs4a58EJctzma2YXnIu1/uFHFGa2plXEjRFzUqlGVnSQvR/Oyw
wJMs9r/7wovr3j6U29sjvmrb6yT+oaG08Xl5Nhvd7xqpPF49H/mgqX6/KIX7ziCWVRQwK10vtmH9
bgi+2xQXr6dF6Yed1ptuCwvcscwtPhLkHOyzhFEovvFi/duq+NQkotlhFe/BXXanZHiul9g8ZK2+
1woL21SMJqvNIoA3HdTp3begWTVI6lqFbX5dWYs3QvwwMpULgR+S8a7DTwysj0O0HfunvAx85GmP
SxOtyLt/ea3e3cHtjq4ff7El7qJMorfbTh36ub+nLb0vZ7+sY6a935YC2UjnQc8/M9PjC4JhbTWJ
jMKMjxMJBehHMguLNei2KQy9SY9Mwg3rOd5tLkGFk6AOYoT84qMOo6UveosRHIU1t1bUO0jkV9Tb
ZuKI33s36Vzf+gZzz8+nUN1ukrg1bRR3flWo0FuLVb2BI2Gu09MAWm7x9ESd9ioBbPG6ann3bOgJ
iTDbt3/EhYA2xZd3JtdM+tou7WH/wuc8m55DIBhXr9pyM0wUwdZ/+OtW9V+7pYEhV9igYliK28xV
nSO491dFAac/XO+/oxBIStbv3bVts2W79X9BjqhuPpBCqb8b8HnvMvxspyK/F0NCjAbJmRde69Eb
F0BCR/RbyAZiRhK/bE5WvIssmB7fvTVicytKw83U2jrm64jBI+fsatRvThX0xasBKzXyQVMAA00z
bndk5/Vt7W9YOWjKSMYqWyc58TjEltrAyghh/e+ZdLsosW8bNEoqLzuxKRpFIZ6a2NKIZXvBD7vL
rceqL30i4H+jkqRuizo71gvS1aRqJClUD1DfGv/ls7P6Tjq0VtWr3ggVpbgzm2Un5iO9JnH9KDY3
R6V4+NvmZLfh2dC/dUE2nq5rPRQPMMR0s3Y/LALnLoCUdclg0VSWZ/Cf+S7MZjczc9LucClF8k89
epkIeB7ng7E+R6h9SCIQ40RMW9sjtsjDddObXl/dD8IGXP2o2VoUa7FAgreLw+yTaBKFXt8MqAGc
RPcienAcLjlbreBpfSPNrkFsIn+Vl69DdDs19yoQUD8p9kOl3w+dRmaLRFjVssiNaJXJU0xgLhgL
YVYfdfLBod2MXL1h8JgE+nYstnpXahS0M8kmvNdsM73vF007wbP6EK5KXHFSLIdAir+TzGb6hTRI
vlPDBhySmIQz32oJtYflC9yphtfpza9qVRHMgotI8+LQ8MHlZ+ekt6OjpmnSwQziHHgtgYpysbXH
vmoqvpcxAdS1itLO51g1mr26xC4iocHDMr8sGlp5BXl/D3lGupPs5BZqPITfBmnmhCTmOfsYyOJz
Ov9syZt+qIbKfDA6xoqUNT3Q7RimZjt2PrVAWH2ybmVmOMnd9EDrMGBIzeBQpRAoZjffolN9U7B4
aGXIVVRYAGJJ1slTMC52sjhcqB87U7Rbeu0ohU3ypdI/L1okH5D9Nf10lJ6UNIQjTgI3o7V+UVTa
ZzP6ewA51K72MApKSAWsQU1kbQn8/2zH/AD9JVjvofmpISsneYmCaUumpU/C5+JDaRZ6dZbU/jLv
lVRdzrKdfIr7CVBTjiQSfO6y2yTluDd1PbkdFJSrV02fQjJ5V0vzUoShW81Mjr1pQ+ZvJN1BQRrR
z5JKQ7g4LE7ForxwPdp5Iq3g7ASEHnn/ymAAgZmLklQ4CVyQ4SCw1vB7AowoijEjMble1MEz1zOI
01iit919XwqQCki2Z69O+XWqAObMzmi9xm39yVA78KNdkt9340SGZLTYF3OcC0+PjXZ3/cBvyyhI
8FN/Af3g9ZCrWn1VXOBy88aQm4Dy7426PlJtJawIrSjzxXe71wPHy01t9szemS5ZpAReAF2kb69V
WZMfQCdUpPioJylHCx7VQ8JdsTrvEPlRvTYFlgV0oSebuFL2agGH5IJsQ30onMzN7F5BLzPtj3k1
QEEfT6kf9qnpW0sDzFSOXRR8w8u16MFenZ0iJ0mNp1vrxMxYn66Ys7s5MBRkeOByG6TmESEIcHzN
pCFT5sHeHXuqY0RuZ5uPTl8kN0RXApe0XDKppQE8gtWm+LYfg05JQHdMCXSIl24k23YrZt1ELbZ8
SDLVQGkr/tQNGcLZXWW4tZ2fUitFBCC00EVFoYS0eim62FXYPS560z22SbMbBkjpRE0rJuU2H7VT
XjXpbboWmQUtfjM/LCVwHt2ZyMUNf5AbUjwuS3psSms6T6my+2HAKUpCmX1K1EG7gRC/PkK2705T
XXpAgiMEmA2+QURu9rPNgLIhx/D1oJpcqV6Mi9EMB9PK21MzliSV8eG7EVvXogpikEJaujN7tFPH
aXJtyCofAmpdIOt+YxklfLz2S4lYEJkM2cUxysZrbNh1jSV1jkottz4UhEAbjTw8R9rghZUtvaWl
c7ZRHp2h7OjkLniD4D4lBaEBM1POnX5IkuSglSUoXaO3/0rS+Fkp0dCUlnBAta4lqGfBNTAiYQHB
ciW7XR1BJb6S4EtFZRzR4CNUBZOf15VFSLBuhoAwrlCrNKXwnPWhVxTLl6ZTAjfLABdEI9Sltf6s
G031Ah4WULoDCLXiMea9Ge6sINDcqu+/DEGJmlGWfpGaZCebUw0FR4xbIO1j/rZzWyX9Vz0uYxgz
ApRlAsaSaRJzjwvzNNUQCzNEy1Oaqy0yRc5TlHf3cz93xx6QnzcicXALyu2pHghCS5LjJsT5L6Yi
S27ekxULqnelBWCexmsiewZCsF0qWV5q0hxrBD4bELndj07JPYUFH+g00sWSwD50qx3QQiVMaGGF
SJAEcbRrIHAO+S6w4iHmqXdIQqay5ldh5DoJlJ9KbwEaWgcjeaC9q0La65F677hLHT7Vaj8fnLxr
XLMkl0VFCzctLIOgOLdPKfJXcupzqOVRvjP8Lk87VKGmR1ytk26Zd60ewFTYAuiBUzt2VdWYPEMn
+azN7ywtqT5FUvemAGe7Cajrr5i/XCsafDV/tw6YzJpOgnu2lUayxMFKhWoY7NLCJSzgFpJu7IQW
9KL9SyN6AKnYqxMMCk3rDanOKjCt/H4ccJjmJVN2WlpeLwH7lgAEDFmturqsGA9KaH52HN04S21t
PKA2/nOQk3ZvmTq6hqmn1bF+bHK8CUn8fYSRGXmM/LNZj83RmB9y3Vb2OgokHuEvXlMynl0QR9q5
UhfV6+SHrKo6j+nQvs165Vs8zLBB9AnJa0Gb7cqmTF7NJWC9QfgfP4ZCQEzRqlvFRL86U+wTaaz4
LLQ5PFugsW5lRaqRkIfpWBmAKy3AWnLcQqryNK90Nn3fXKayVp6KKWzOpOb+TCGIKA1vAn516E3p
ouRf68aUXyHWnU9RXta+qUjjIVVwPhrdYN5Za1Ho/WPT1zdlEKmntolAdaTqTE6f/K2qQgsYj6Lt
+oJgO6SdrtykBMpJkrsxWmggDCkhdbOJvRrNey/TIGrVysLxeJdB5Brm18gwv5VBmO1Tp1B2jmKP
ey3pjotZlZ4x6BFYvHEi2aOrfTufnFPeVIe2wSprAPGxEjtK0LrfYqwGXqLOD5k5dShipz164Yqz
kxMYUoBZd7cWb+KxlszXbqjrRzOScAtNqp8Bs9lJI+peS6d+ThFv5cs2kzupk+mmNWm7Yxw057Ez
02NYaDsVz6gUGurOydTnchqWGxVRKDczJvkxC4mzBqV6WzQIPBiLNDLCEL3LqjE6W+p36IilS2dk
AetGGe6NVJ74Cgyfgc2C6Y3tM6nlaCD8LhK7WhpMTxpnB84kzgOofHkp4k/BOA+u1ibyPg9C7daY
UWVt5zH37PROjlrnYRkeK52c3BaYA8m1eG0QnfCHmie0TFq/x6TIirmD0F5DIw1t4T3QK2J2BqpT
Q2Q/29iupYRDNG6hl1G112xAsL0fRvu0yl765BNIDOLsVGryRWqsxs9qqXINlHJ4OuExlr2p4bVb
EEDzlUq7MeTI2JHW44HvR/azseJDSdSrb8sJaILyc3RGfZ/1vXRGHGr2ldiGSrRdp9lEzd3c+UKC
hNfqBZES9O79fEA/WK6ZEaeyOaEVAroJjS6so2OKkpiXGeWz0iazn+OZtZz6W6Lo0AgBUnGdariT
0AtrtACssFl/znSZIHSR3TZVa98heWejbJV2+6iFGwfdLtIp5bEi72lXh6S5zWF+Z08NAOtGH6vz
PGqvRhMNXIk+AfU3q8tCjvEpmi1S6I28fVYUs3lOsXvlXE3uRdOAvQY9N/LHYudQpeNTYEDyEw0w
NTiJ5IWtPeGi4kgjn5c7SWme9Klvnsl90nbOHGJROYA0QqVI92UloWmCDEU99cGJGY0fJlN+zceX
bvpxki9tEpDUb9fQU/H4fNFZtGmKb06aQzIoKDSIkh+1TmpOtlER9e0ybrnRdhBw1Enkd2HzbTIL
+LUnJ7+Y9WDJ7iSHSGGUydO7NrFpZdly1qLyLGriMF5yNJrM+RZZLUIXwzgcADrIT6bcTU+WL7ZF
YYQtPLojrrtrW62Yf/VhkNw65HA91bE8QT86vl47jEMX+lkDAde1zez335FKJ3l8IAfeluXgrDrp
D4gYwicSocKnHlXsfQoe27+2aU0NeK0lca9Qs5hMsMY+jIHdXsQRS6ktF2ytg6iJomtHvMqzqjNe
7fDJtG1ftYr4YWig41BNLT2pYFyeyiDT7npzvhc1UbQG3LY1qIOjqMpFMl+mhYtc+6tqHT53PaAF
FJitg2gDTdDfA2E4YMWvPeg21ygpgcEttx61kjcPrY6C2XYOepCA3fv6iNa3aMsKqfaLXAp2df+z
knrrCUCo9eT0w7Sz87hF7B29GTLyJ/R1pOhRdIlzmHkLPtie3KnkmJN/e9sWmLkmmW5PajsSzEH/
zBWdt2IcVxLxIjhWIZjrsteeRxW9ZYyAwbPW6mTl8XOVHOTR1J5T7JlneWlCDymM/iQ6jCyiTski
Id699hddYE9JA4cFbzjpp9xU4yepcoqzMkN/kKVN/JSsRbWmljZ6XuKpoioKO2KFWpNWecYjVqXI
ykClAeB+kPXSI6FQf6kQb/FyTcVibArtBWNu3BkKCqBiLzfIOa7Qeq90Fu0lTM3yrpyqN9EXiaPp
KaijbV86fpe5LfMS1Uh6m+lt0SU/UxgbAEg30bkJrPaeEJf6PCVRvosAsmYIn3jJXPXPrTGm95LF
gn+ticIpV9XMoBq3tiDUNQCsrD0CFT0yey06tdyD/U4etqMQR9oxQc87sVNGlvehRuf9esreKUyX
fFLlJNpQ9ZrP0cruLw4QbcEAwD8CwbX1sAkPFMhU7kR10uPqcQpAu61XWSCdeZ9L8VHtncQzoc87
9YouP1cdKfGyxsKssVPlGZeX8jw5jK1B6x5FkxmbCK0vZn4QBwSTOdwO2vQNo0h5Fk1Z4tzpFS+G
qNmqZZLAJA07UY1NbpZcD7u6TI612ih3jt6OT/o4wfRRqX/zcRyfRLHYCcowRqesH8xfbZVje0up
xA9bj7m0iSuQZ68RCzgkFgR0UY9EtaIE0Q9tuBOMKeUsfwOYrX3iBti+pBfpRa8NKP4iRTkAw+4e
pQ6VubJTnS9zHZ30Zal+olx9ngopvhud5C1YuZgdzOxbay3M2grcGlTxvaYRN6nrsn3uq+TvuZK4
baG2MMoLqDhq05ecOPILoMmX1BUugqiBxWNS8novS3rj6kYuHe3GKyb1Ug8KZHJN7Byt577Pd470
hTxF/R65xYYALUDzyVTKT63unHg3w70VSLVrQewwFMqTZUNQ0b21GZJOIyxdkENbuD8i+7EYIH/R
Ha2CGjp0jvLnoiVxOJT9GdHkZ/76vlHM+KFkflxS9YkEz9kHfOuwdHSmO2OplV06GzCFLIlnR1r6
ZUhHcz82Ce6GsiD8alg7VJUVRBzxuXZTpN9oYEW1Jv4x9qp8DivrzW7Tm6V04p26LCBo1Dr7HJoH
2Vax7RDLKvECe05Sy5/kzJL2URJbxHzz9L6Lpe8gHmGTqWOY/ixyLKM33g31UxlMD3pfv+pKPr+U
bSahpVh/q6ZcPqWrCATrSVQ2UZE8KVYHZRnUaBijveomaZo8FEDGyNmWg6/OeA5ME6qHIcu3QkE4
uJYmeMXianGFOZ1pTYE8BuHCeFpeRh1eQwvx13QqkguaOwkWolnslE5p90dIRuPvFuQenlzF5n0B
ScYaADYx26rv2hxNn9rZekoNI/yu5MmnwrCRl8rh/wJaQuRBr6MbpZ6CszU02bHRp+oCVXtJBAUa
TuzQ8FnJjcKLSQD+27GkV2uolp8KxDPWqnxUBBlhZ7gJUHef3TGpsle7nnV/iaP2CJOA4hosDRBk
rdvmDPUgplkoI0qSVmgKRsHw0A9999IFZvcyrxAxMx+eRC1TC5akkbzciOqkKtWuUqt+L6oj4mGn
DISA23dF/5Ka6wcN/Oj1bHUh7VPVMh5EfyW2TCRqjQquPn7K0NN8H43JtBNVB/zoDfoarB3XvVHD
p98wZriLqIkCnbGLrY+40NYm+ndgBCCoF1WzG4HkkdPuiypSOMttiAf/19msXF+/YGKfuD6jsj4v
ZqHeiWsPRjPxB4LvW485b1iFOzNeivWnSr4Xl8woXkWtG+bQj/Q0c8M5iO4HlNXuSVpI3TzpCrwO
tIkiGQLFV+aQlI/GlPwZND26hnJ4jzgwnPswqN5LslScrVp/+NAuqhFIVGNY5tuhw0ngirZw6LBU
SGzfi+NHYj/k2DvJrh9q5zJPtXxoJvyOrWYxoEWjKNCWcweZF/vahIPQuZQk1HvdlFjbCcResUMD
GH/KsuEvVOkvclMNLKzUUiOCHpmXLppfZlteTu/aZjBKe1a0EA6sXQq1MS9KG3GIRXKDhd19u1VZ
naBUlI/Rcf38EARqDY+0jprV13qM1pbDBX++qIgC8h92QkmCwNzcEXARdbFLnef8JgaRpOaqedHX
YjsVycW5O6qKdRCNPfx84NPbYZ/U2XKB6VY9g1ZD4pSaaFIb9RgOxvIwRfMJiGUNz86ovwLZxw7q
5a2GnN8Bqy947CJHf02NZF8vZvkkejZKvluyadlq8Vz7bbw4W60iExe1qvJZ9EQJ3G2WZn6Og8p4
7VUWjnrvbPuy5rsasDhdHMO+gQ6oeq1yZW9Fk/KYjXb5KoHF7tOkvRf7oCCFowzt7Lsmq/K9nhJu
0O3mqUTrdzDcWCVPUTNtcjultCUMQIA6Cy0/HqrnZEHVro0W7YmcdlYMiby6PufmCFVF4cH3z/hn
6GUs7o7qgF9lHpTQ1WyEjrSqrE9OP/MJ1GTzAQSScmtM7Z224qfT2Q7P4wR3p6gqZalCK2NirBmk
eSSIC04Q1XgwK9p+ROroIYXG7CDNX5qkid9C7D8PnrL2wYFZ0AXPn0JCaFUHXqBPdgunYCklxa5S
lt4r8hXcUhQ3FXhx2JbgBkmea6U33hgfJxZVxuug41MIwcdGWSp9JsEfnB9apcvUFzE+5dlNLrZq
66E7oBDZ2Kr8I5WkOyfQmrfcSf6qBQ3ZjG5WmyPXh2NVOyKM9YZ4yZMRqjGsw3VKjoCS3odaoN05
FQN7bUrWQmzZcqIdAIIkbgDSC1al4BkElytNrXNAzXp5mcruYXDq8mtCLBFETK64GuRKnpVJHWx6
Snerqo3lL5oFabFVz2QNSjHe+eazZTr3eXAw87QhI4YiRlQKbJJfFpKE6JZWeNGQP2czYJeyQn48
0/t9r9jVLmfu88JhHI9yEVpeZSYqxCFls28mRGvHIoheiyFVjqYKfN+chxSxjPqQ5X28M7VTVY3N
C8RSfGN6SCuhWH0Utc4JPvXS1F1My8xe5xhaKNBIALbXaipFvacr03yaZjyQXcjsOWby5yAdtEOx
5P2rCpnHrtVMg9zI0XxOodTF2bGumBty1IfHPFazF3UK40NoDdnOzNr9P//x3//X/3yb/kf4o4Sb
dQ7L4h9Fv+YGFV37X//U9H/+o9qaT9//658GVrwOEtXSEJe0FNlS1/1vX5/iIqS38t+IM4O1SKL4
2Fvz50w2z4LKtF5kmzuoToHLx6VENHetT2FU3K591Lj8OzQWvmtVrTyGTPx+mS/ytiXaSj0PSKNg
b4TeHk8S1VHRD7JCOIHBOm9sO/PKsVPBf8vSzMiPgl9HFBgPGB15+yR6tLbp/j/+uKz9+z/HvWZZ
tq1rigULuu7I8r//czRntGZCDOwYVzJEa+CGCAgGO0VFIasgfcJGOXSd0AKyKbY64UrcjeMz5pZx
6bH6mUx4np6J4Ohuqzux1N468uJbcf+vPk2LeuyU4JrWigqRHGQTj0yc42GAleVldtIvgSYtb9qS
v2Sh47zCRuLsNakfICkMzcc8tGFEtnsEmzucPmrU/o2nE0dPn2g3dumgt+WQVQgEbXmzR68b5/gN
dnDCYk1fXNRgam9L3bAxYI3mS60lfqjza2nYmuCHRumBB56RcFJ3R93JnrU8C8+aliXY+xRYlQkE
AUyk/bTYOzux4q1N7J3UmLerB6jeEEHSXdEYlZJ27jvjbmsrJshou0FVT3ChDURPU1gUiPWSyqui
qqzFYwvOpObzshZqhBK6CbRQ1BawX3emMQEJV4NHMjiCR0jV+mObQVW6nWSy4U5FKMvaXU9iMPpc
RW6S7cRZXdcgrliBA+ojCKeE835haGp+kSjVJc+Kyh1TtTrkRl1dqrWtyxPmpMo2f0RdnBy33mKP
3iWfA6t3jtux6xHiMFE10VqWRtM4iabtJGJTKa2TQvz+LJsaJxZt4iyOqn0qzfhgwDiJbnEQrQ6W
X4VqlvFFGqG1i3Fq/G/Kzmy5cWTJtr9yrN5xGvNg1uc+cBBJURQ1pDKVeoHloMI8z/j6uyKoEiVV
dla3WRkK7uEAlRKBiHDfvvfFhwFphkHbr4MKFkdpyivOcSac/Lts0K8/+M9mB907KAbz6leXD/YU
LqwMiU15gdPptECGgb2E93U4yAN5UliLw2wf2IY5wMESjucBXwycXfngx9PCOtDZOOfqk1Jk47cu
qixAouV41EApHuqKJhs5MGfzdZ24+YPDW3hHAYAsKSSZ3zJKKuJCV2PJTN6WynDaXScZb2AkCznw
almbDl2qljDdOHbhRIkCG0mFgKR3kDj0LIpr1Co/GvRA71Dx1NkriHArUqvrcCNvJx2nMZ8qxM60
W6TaRJC8Rx5A4wAPn7uQ0X2TpUyTRRI+JGkb35f91tHVYwWcBQnDwrpl5WHeJsa2NLXoZMR55h0M
UtRyqBNBds/DlziQC8trpM/smR3g7rCX0pQDZuiQ74Wk7OLs09N8WCjmkJ/uJ29aagFN87RDnz9i
oJOnpvSLWo51WyK4diiD/rK1o8tkGmBvUXTfBscYTkB8ZncZxZVx0nyQZ9DJzQubPNkmKkICpdND
EZZ9nnl18jlQ/FxRiN7IwZMPZYuS2Rk2pdMHyKEGHfRl2sDzKE2pLCHPqrT/pIxJfRKGkP5sHsj0
9Fs6qz2oplmUHEv2eDujhyxY+qqgPfx+itBd78MUoTOreZppOJbHqWnp76cI3ve645RM1o3q2Yhq
pzaYzBFC3PLR3yEhMVxqqe3fmArgzHaosh+mCqvtOEyPNRzpZH3mtxGsDsbHMgubRV6TgJciyXSx
QynhghJXyenBv9uyxhOjUiZZjs5dQhJE6Cufgz2nro88WjfurIBXj4aImci1oiUynuIdi7QzZN/6
LbkN/ZZKk0/pVsm20hdG9edoqPX96Nrfk3TwLwsz1W9PBxUMVmPE19KS4fJM3kdLWgaIIAdk37DK
KPfguZ294YUdFM+xDfBE0cScSP2+mVScp1NhB6mD81cjE0oQs/42QETJO8/i9vIiacoz6ZNmR5Fx
7fuUTOSA/ATWfMyzbz7sf7qXpQ+3fZ6om/P9Tj/dxx/x/O+ALKXZtoa2P/9Yp0vOIfLnAizD1izQ
LmPP9g/jwJ501Jzsq1sUNgXffNgbdKdD0kdBHVDByvYmii2+Gu9d2Oz2kW+QpZCn8mDxtqIGJobO
hzmELZxMVbVMlehl4HyL0XOM8OLDiNWD+wRrQF25ysYbuzd+TKwedhMyDf7C0bX6IvF1dekoCvZs
ptM1nUcLu6c/u3UfgWGUW/R6xwsy5NOT1T8nneKc3O6Q5CsbRcpNpg0AUucsMSktj4p3FQ1VAVsM
isvSjIVPnp0i7bL0rxCihWIL4O9eTiqNU/0MafFAyU3MM6dpo9Ojib2d/uxDZvwy8joNRZbRLGtQ
Q8uKddfGaB1v0xtx+sV2nU03FeY323OATGV6cOihHb6pYpfpHVbNb+QVvw6u1t/T60pzVN2Oa+nn
KQ26of5muT4pPwgGd6lhJp8SJXtIsjlYzzV5f0R14NNREgopFJpg53J84/rkdHmy9rSObqRPtWfz
upUatFOkgokB134hnXK4ir2vxsDuPV2Yp/9JcvGyVnwYnxuhxFh4W/Qo6oNu5fUFO8Tklhd+uUIu
tXkougxweKcnT3ZWfU6AuD2XYwouLYKmAwwvZV5Fuybto66dsWAp56n69cmXmabOcpw6Bm//fdtV
LwMU1HW4uVFY8eaWb5+Mk055HUmNH0FEDYr2x+A6jq8mwYEVhBAS+miq6zGZjqVhAS8XZp73fbis
i2gz876+lvRlITP1zo+DXrk/EWZpHrRTVDhv4nmYnsAAkEFChXtvcMkn4e/K6MUfN8WNfNX/17t9
UCP3RT+KciIDBp/Oe/P/bZ6L62/Zc/Pf4qrXqA9Bn4qM/34bcoh+1EVT/Nl+jHp3Xz795adbfWu/
vTMgs43a6bZ7rqe7Z7IB7V/7ORH5vx3817O8y6epfP7PHz8A4rTibkFU5H+8DIn9n26y33vdL4r7
vwyK38R//njIo/b557/u22/tc/O3656/Ne1//lBs+9+eoxqe45meTkOq9ce/hmcxojn6v01S75Tn
LN3TmSH/+BddCG34nz8c7d+GZbLrNHRX07migT0Hv+b+2zN0S4OSXnfYoOnOH3/94182s6e/2v+w
udXe725NapmaztSsGdRdPIO0xvsJPIWAIteGxHqujOIg59CxSmkbCGdvI+ffwawo1s+1t5Gjqqto
p1E5/8rRNE1eRn91rbyVDP7VtZr3LQqgFAn6strLg5umFXjdV9sbp2rviMMHXwwj+V+B7CltWMXo
DZnrq/MhLb23ZmRmyr5Itl7lGV+CMs2uoDIPloowqwktk2FA80S3K/OL7rQ/k7wdjsE4LzSQb4VT
U2kWT55VIg3Yat6XPhgvLA/pFZ+1M5QAKc30+2mqfJRvOLNhSt7nfmCDLnm1wUbQZwBWMpngmTAh
4Fi0tQEzizvM2n5MNQfVb1BIe2mHdndUCh+cTsImawJedYVoQ3GVikPoj84SyhcafN4PSFMe7Ag2
9aRMlAaVBk7LrRewhpVj6YgCURCOEFQFE2AWA+hp3NQ93VK+ex2KsxlKm0UNRHBVapuiMZrPiIor
NzDMJhtSN0DDyr647sXBVxIOZKIWVskyu20h/isXZmZnqAQHHjNOe60F7XwNeN8EG0iZWu/RlKoF
J1gYIMIUlM1DlZEUAXRv9XcUZprLEQ0224LTS0XuiH9Hv82jKDr55IB4VhZeFAc7adqzHtz97iJ5
o9TqtwZCKruBLFVFB0U37Qc3eXuQvhIW+zcD0kcj2sPL39w1yBj3W1Mb0mMtSax8xdo0pq0ta8F6
NTaTtoConr46fWg3QKqMvabp3WXpDP3W1aro2qIpap27c3Gnj6hlW0oSIoDhgIUZvX5f5pUqqBvS
ZTw08Wd5lr6eNYMSnXznM8fQ9W1Moh26CiBbmpNbGw8qoBBCNOwh760NHafBVjCur3rK20AehvDe
GZOcvhqguMGoundl09fg/GBLDUeUgqowe2r9iY5OkxKo1er+VWAk5spvUXYoOtNCWE1o8hkq5E18
6YuL8lVMT5XifeJQwRq0GL26vJACe7U7CZSLGKH5xFq4VfnDgR218tOn0+wIwalyKczT7AjvtgJ0
sHji8eQf9GpKDrhm3mmkh/az1RrVwkxMbR/naRIgZYVKlDEAw5LO03jcaN9t9hlbJ7OiNaAuto69
ErsbS/mhtJB4yTUHYLUl6Zx0/tynA7i4KgpAKblBmy40ugcXoLOnG2+2xtMhN2nS8aK3ngA+86Kq
6R8wCR1TaramPm1SJ4gQbi/0hSSMj6BJQ8Zp/IKe+7WTV+AjeHvIA289f2+J94g0KXPzMjnb/AGP
/kzS2qm1mCY1LTuENcRJTDfzI1CtK7vR7Z9hNN+bMzTGmQseQrXA4BQzJESR572E9vl8BZ148eXN
VPiL1Kmmvc8gmraneroJEbbp2TYTlvohd+poWQTgO3SfEztKd6feVcnxI/t320Snl1WefrQ/hr6x
/3b68dqGyvVSaUdzbRqz+tAJ7Ks1jccsiuIHyKD9rEFqDRqxteR5lAdNLD8B94P0QCBaut5QQbri
ilGpyX2KuPNlr1ec/ZY+wyYlr/jnz6jyGmK4Ib+H3S0B5FQMt5GOypQPP+LKggPpW5D0lyTTg8+Z
p0RkYvwMCki3/Nbv24g2YWjBGimusrWR0Pus0JMMJ+dimNv7MZjzG8WmCALd/wFRwe5xsqwQYKZt
rimDd495D8FsVjfhMbOaYFsHjrbUyLsuvHoKQU430zJTwWn1uTvdZ0l14wg/sLZwrWazv6siK/8y
d2yIhB/kCOJRbaxv/CwJn7SWEsjoPPpTrmz7rjahWcYd9OaujaEwDzy33bfmnKz8IYBDWY9X//Dt
c0Xy4Zy559uHxA1vPOh5DFY4fBXfr23m2HAbW7Wjn7GWGAkIVuVGEiWa8OLSkq6zZih9466bXaby
YnpSkRFaKkHbXM3NZNyFgfJl4oG90NAHQCLPB+PPvuJK4v7lmfQpbnaT5HNACwStAGe/PBs7Gypg
GXceju3qpjZqfuO/uJ30qU2MKEl3i2hTsR67brhSW9gbk9qN11kxB4+tHR8d8XBb9PpUtql+kaF6
aL6E9rP+JrRwUucnWeebmLrhFxsVwbUGyeiqRt0ChK5CvrvMb1za4ngkL4bYjAMESulGTk1RSuzC
l7P3ox/jFDifx0QUH9/HFW6jXeowD6GN4KlXyjS/PXglGCaDxuEP/nNs4pfqlTRRtLxqx8zfRgn6
jItzyPla6bOK/KgP0A3IS+Wg9H+8LPPUOyXRh9VYJBf+nE6fmDwh3Xa1+tGe4MaPWnf4Tvv4YUaQ
lj7GpKUtQemiRRbBW49w150WZbXQDX3Q4jE+SnrMV2v2AkFlXj3ofRYfJcmmGJOWpNV8jfxfXTeL
T3i9y/nzAj5BWq9j588TY2fr9fOsPHV2SQnhZKxF4YFeF3M5WrrUlgsO0pc5ZoDu4F8H0sIMBKm5
tGGkExp0L6MfgsPR97e/f5It+/2DzN7JENskmgpU3XMN58ODXJKggPXacH8qQarR4mRp6CPILUVB
DqTTlU/SSJLtYJXKJ5A2xX00feszKJObODjYds1u+9UsfZXddkwLiRz1Igd662BaqbypSKbrV4aZ
BtumVPUrS5wZwifPpO88Wgi5vnOcPBui4U7L5+hqcDxWryaduLRhNMcEiOfpIAcKuq/YTvzlkyG0
jLKuEQOlldIPQOdHc9SEU95GRstAL5m8xe9/x47z99+xYbrsAW1w1GJj+f5lOYaRokOBoPyMYvWe
Fl/31nXi+NAkfk9XLPSyLLt+dLnh3rK8jA7Vq9/F37z6+zkalgVNxDIe1JT3Jl76jcD5kfrfotq7
89pUtF+6KC/5r2+G05nwqXNTrePINpEhaZBuks+xHJYH+UTLMxnICsRcUGThjtJ5ujmCrkLAK1RX
imQ5TlGiysGKQ6fLxoNGEhj3VQMFQmGquZve0kF2sgrhMlAbAeeVFeBJnuY2Je04WQBE2uY46EO5
bKMECS7+RDFip08ZWxEh0voSYVs/kbBpetfeOWgfLE7s3mebrsjf/xXtv/8VHTaHpqvT4eLq7Onf
/xUDq6dRc0TOysopqTYA8a7g2Xg52E3Eb1Ha0IuwOiyDNZxVDXxVhEgXaTySdhEI9Rn8DJTIiXmd
NClp2LA5mFNnXuviIP1RbKYA2TVz+WFAjsLYw84WweQWEoWWjlGIu6/Voo9XkZ49VmOESooQHWnG
rjlK+RHhL0x72p5iEwQzjmaX7Huz1x9mvUCA0YnoeCuNBwM8CYC/ZF+BGjyPNcIyzeFTUaTTutCV
atcMZbyXZ/EwvZylr2fn0fNZMDjxHnXuevP7v437t7eYpduma9FAYAGRsIwPTxgVJGSvk9z/kUw5
XQOOjSDNXLFnUdm42Jqb7aUJhzbFtjqe6Q6G5WYhhz8Exm7okKUWV1cyaBT3kJHncHlLacpbuqV1
THWDjrKYVsbINEodEBx1vpIeZ9HcOBjTNbTKuB3y3RfBACIl5REk/fk6Th6ro7k6TTazFk3Xp+GX
u2jsqxco0lnrIliXtduJXjGEZ7W4qBAHEKfy0Cipv88CWpfxqAOitW+Cz2GTGAlV19sr6ToqS24n
XadTv4t4sTqGf0HnFV0yeT5dlKxi+NlpmpE+ebDYa40LeeoOzlWpTjXqgW344jsHhl77cgfp8+jy
vfz9F0Az/vYNMFzHtU3bclWPfKD5AVAROqGfxpNa/0zafG7MtVN6FxQSlUPqVjelAu2ptE4uR0Ol
p867aRUYrgfRvbRFtBynxXK6HBxaZ3JXQRE1tNAz9Io3t5EDMjaydShDCnQE/RI1qbiYla+Wnt8B
ogG9RYZsaoEHg1W+GUF2Pg1+CbF+m6v3cM+P67xQ/ENVqtRsorzauahZHiDc1tfaENfAIfKYHrYw
eBJ3DBNEpbkjKMbkDvmnevOL0l/UZ/56Vpy3pb+0tofrlC7SRSvfV+L9NJqdegWZPy+toZroTYKa
8KJ7HTkHFnoH/Djoc0hEDbQSkK6hMhfe06kU3uvgjulWRxpE+l4j2rFKaHX176rcRP1iDvML3fcp
EwpT+qKU/svKY/EPFpOUA0WzF1tqWchA6VO8OF6dRS7O98pkXj+ns0RrFJhmqxBCFJcGnGAkISLO
HD0rrksL5WkN7dQPfhkhB8WVMvR8kSWurMWVr7eVEdIvw/RoPN1Wuj5c/v62jVf8w6KNIvDHFYXl
qSbbL/b/fEEN98O3PfDm2PLKVvmeNOhQk7ugEETH70orunEl54jzXOL2NKO7T9IR5SWhck6ZMqNa
JfP8Ei998soZpfDr/gdfJHFXMUud7vX+/qcPjWLnT4cXHJqezW0mDr1zF6pmdXNa+YnlH1vwsydw
s+SmjK9M2BNG3kK3SZsKsSZoLhqzANyGMPt9Ptvx3q50uDPE6KiN1r24wPSp80gXGVcuGOZF2jT5
Rq5QFVrlV8wQxVaaQVZ1Kxpxi62sbcPM9jIqM+/nUZl5l6OqCP5wLXQj+UORDdluLsc/UR7MbigO
5qeDgsz5XCbaTrrkYOemVLP0+s9Ma/KbFPUouHZ1g38JwPPuIqYdqRermriHRnvSJ+tYUb/dO41V
wjfmB08NwqG1HxqP8wyELaiKjT8CFuXdEt73lRHea8m49oJWOUrXGI0Fi6wyXIEM5xXXDTRftqA0
QwXsrqUV3rEyPRfNZ85KmhEWZFPS3XlgTDzzUClw6oiws1/eBJx2/2aAXOG8MFT6b65Rcp/3fV2R
3aA5D4XN4kZV7B/t5IyPU1/kUEtbqCWU5fQI+9nR7tzhLgnDf3gOnPcQCYGkMVTTVCE1cyjbGPaH
HBgyyW6tVvP4fazJ9KuLfETO0jZH68A67baw6AtaOq35J1U8bz/Han9P2rbZJg79kdKUh778ZOdz
dScNPeJ7YzqODw068aGWW7BtAaERVofKyX0f+X8madXt9V4p34ihTJOyLoZBQSmIQuwpV5W6XngR
oiW9JAf7kt06CaR4HRANz1opKdRILMIyj/1OUqbqSq67qI2/NT3E+lYtba6UvayDkRb3MrkvD2WS
3QR9XV5LC7HocZ2idrg+VQPi2j7HF9pkLMG2m5dmPBoreZbZo/upmuqrQeRppN9EAuLSa333U+uW
H/3GoDIbxlG9HDQ18P9hJadZoirGkhGoqKgJir+p7Zg2MGYPeKRJfvP9MtuFmL+dGrv4Tsuuu8pB
N+7arLtG4zWZFuh0jAckomkaEWdFkjc7u26u2Ws01qUMFmYmy/aecZfS5nLwiijbAmsMIS8eaKmP
Z3vtoCdxzzrKW9RRlH1zsnGfdCWcdnUK6Xuf6D8doQmWq9a1Tk7wQBI/J8PlQt3B1g06EgFJtdMp
v8lh3fKcedNlvo4snp5EzzqVTTj8odKaxULrfLDDqLlyxeHs6wEAqtBCAILw6PFmdm/vit7eoRS+
hU3d+GIA4V5NpWntrFQxvrS2e+XrXnnXIbJ7F7f+nldg8rl0jo5QwOJHgaLg9eCCeof1oG/3RZNq
WzlQez0VIj1QN6ctHYWnT2nZ+GDCyR7JDZ7cN55N6ZN7wtfYU5i4wFYghLfgK2vKYNqfD3NfTvss
zbZZ1uqw8wDIXZxHT7YTUrCyfRQt48E8zvaw6vKsOhjCkq6WWWdPD+xBWrxjXvx9gR4WgBD6nF99
MoQazpPWTc1mIMdbf48NNV8P7WjvjNxm+1VOwdfMyA3EyaJpX0xZ/kWr45O/8H0IEELQwWTmwq9G
0ZCLsjXviHqVfauZ7YMt/BabdxrykZzNFSeniDSFCDD41ahN+34ESA0SL3poiwuZeDIbTRoyf2SG
bihGpJGKsKB/ExZEF4AxwvXv18aGSkn7wyPFu9HRbYcOQGgDbPHIvYFZj3RK0Qc6G98zQEQ7x1Rd
Ov45KO5MP8UE8cTZZ4Yt3fM6ifBTTI7i3xVPnvV6lYz9YMp4S6XnOkUz7sKp2vtQmafLuPdIjIoD
GpJLE/6W67PLjhp1MYEfpTuxME9hoWEnF7YK1630GUOirSya4i9UD8WMcmyynTZW3qfKVlSg8SUV
XWGW0Mdsk9YNWXVixlNOPbAQ1JTC7FxLO9LKepBWEs5IolmnC6Uns/utH8fOTeDRaqBm+T6zSTp3
Jgh0WQKTAJMPPgkkSd7HnX2KReX6VGv7cF1nuCjRDTRGzErwtUuy5HPT9wrQ75ApZQr8gz2r/Sq1
EvWrOgc7Vevsn+9DE4fZxxShVkW3XTSOw8atQ4fKCwgXmMLC60olnavCuRNGKY3IVgWQV45Ke3DH
a9b6JlJNeko/mojxesAytQI3iRGi/fLmukrRnU3qggOowjA9GnP7NDue+jm2WabBX5oupVmXg7lx
kjBfSxOtcpRlacXcnIJTHxHntK/30gyU6tGxwu5oB7X2OQTi7RoQ9PrA9kyh1zlZ9CGWtvYoZzHp
oja3Z3sToTXtOVdBYt6ZE2KqcLyw1tfoAFiUGhnB80L9vCqXo3pF9u/Dcl3xIYke4VO4RNmZt0+L
KtRlBV1YOKrZItZdKoITMCBxCLKyoWDI2QxdM287b3V2yTMZJiOkKQ9q6zR7nzbzDVX3aBEHnbvR
fcdY008dPdpFAbBshsMgGQL/szcdQ+SRHwEu+Ug85/STCFP3EFJ2bDXbSbNo8z2dqP5dXMdf/cb+
lmgTEuC2P156YUGrR5juawGTk/5I+HVT/aXfCVWUPBVjXshy6Gh7cOcKU9ZEZTVUDpzLpmdfN7fb
clZ3SqMaB1+lz4jJT6XojXk+eK8mdKOwoFVmtJGjAVvf6RRdV3p8mKOdX1bGIfaQ/aCBPV8bs+Ee
RnZhEHwN1Vf2jdDhh7aPtPvgP5Sdz8MeVV9NpIY3sZ4CRZ3V8mulm4eImf3eNUPvdPkswj5cDofQ
SvpZKplrK4qvospV3sAfjKKEdStzjEsJf2AloB2bWePvAGhiyp2WpgdWicjdJkene4gQbXEX5KDY
HFBsXI2RQntXTAFL+ixbo4LhPHjIdb0Ny63HZGDnAxWO4t2a091Mcq9Yal6urCCHi1CpRdZL9ehO
YFCKd/m9ffz9DKFJLPHbRZdOwgqIlK1qhmVb7CrfzxAOysRVn/flU+mb/TJj/bVX+wjcpBEJ9OTp
3PYt9EKdUl3qIdS3iDi9Bsih06G2Svgp4B+m+Flt4FZKT+WEUpgu38213HL5hV1uCpQO13JDZqPq
eBqNUfe59XhUJX5B4hnkWdd0D7XTRbuz/wyFGP4alPGTQD6cwzx1eIjn5q7QoWvNk+ghoQHW6bP5
UddSnqkoU8hw1NOjhwDvwiPHe514wylMmZ3+kI20kssFD6sLFT10jU4pkVSXvvNK6EO2/Rz8YTn1
wTzfmXkqOmXYzzfVx/6qNWL36I10GIi6ZBYNtxq4zy9mbVVQyaXtFWrH3pUSTOEa/Gz22Bj1ddRQ
pulkgjgP2uDOZy5daGVbwRHN2negYZxZe3o0Glqfmqmm6iNMGaYDZboqtR7OW3+qSGuP2c35uxxM
2UNfjurl6cuMtikiTBl7XBkiD6344od28dANhQofFJY8nGPlPU8PjWIVp/vFxRQtmzmEWWtGf5pM
tLYaG8tbS+1pedCz6GnOzGkvLX/Q3Bs/eZSGvCZ0fH1ntF4DWAa96l/dZwR4/Q9LLMTGPyyxdMCE
nmp5gIwgsvzbriUZkybzw6J8akMdKtQpDw+0CQWHEUFXmr49IeVp5Q2MoDh/NSwH4Mz72jRmuZcb
zRaSWTvo76SR1HWz0n033EhTGTvtoPrj3WmTmyTqcyVkLSE9s7Y01UVLf4SebhV7XbAyqrJYDfVk
b6u4+xKx9VmjrAiAZ569o2UOCJJDzPkFvWmaloQP9gMPaguFOpEPm6ew5gnWM7B2YJsGCGPupqKA
jT/3PfPWDee1/KEyncwDOmqQV4rdsg9P+C2F7KVdBMNp71zTqbws8rTYyQsqBz64QSR6pKkZqbmo
kmjYpOacX5XmuGpZLV3b5UQOHZIsFAFDdUD1UWmXodvl9koONYr6hPqiuZ086GMDhBdowc+RMh9H
7S6EaGw1k9y5CxIIiOmF1e4E+diq8F39oMhlu5NoHnNkRCk9DW8sRCKPhjg0okoo/Wz6bqQ1RzD8
oga4d+3EuZmV/qt8dTRFMF/0pYLsWD0E+66N7V2Y01eW0qYrIWutnie70Kv9hS1e6fKgZDSWwa94
kNY5QkLe5FWv95ARUTBOC4MnfnF+L8qXnQ4mGhrCnx/c0nR6PTyQqpLG+ZUp349yzO9+nl+W8qwy
D33j0houJqvSjRNkcdk+s290t3ZsDQdVKwDLuOlIvi+M+KVa8ecuBHaftTTWVll746Wm/6fdfu9z
BFEXCiwGBQjCn02rPeW2By1vYkM8SL77stTZUOuK4RwmPXYOsdM66HY3CJVoya2b5DCkhsInB3L3
3g5ZA/aqIjbgI6Ic0G4Em3NqbszTi8LrD3wLbt0gNH+8nkBBdvLEf52IoVZzjtDcJXtbTd2DQof0
vBhqUoudpdRsRXB6GgjOVdX6JZTBTnQbxZZ1WapjtAi7FnHGxrRgW1YTDyo8Fge8ferbeDqmirtB
E9i6Or//HH4bF6z3suXp1dcTHbo062vALIcoST8R/6j5Zve9i2zEUzVy/ZbpNZDalca6qikhwFK5
kBFFp0WwldcJvIydc237ZrlMKgeyUbdg0nU9a1+yc93X4iDN86GGtmBAOXZ3dnV2MmwM4OvzZ61u
ug3lnTXJNwD1VCNvRqqsN64Sw4wDE9amd0zFXxRu3F+ElQ2fmRg2RWA0oj+rqgGFzCreuFGKCEdv
eJs4redLaMJp4k1gmum0mi+PaZrLxvKdL5Vj/RhnK38uaYR1PGB8CBZMW6Wqx+8w8kG42NHJO5EU
X7h9Ud8XCryMum7fpo1b3RcxjdJqB/WtHDSi1jn6inchB6ULKjBl0ZKQ3ElTUWmQsAKLDf6QoGk7
D+lDGhvpYa7KHCoc8LgXVaPCGIig9z5MKQaqpk3FUJ5KpzzQjQEbgjgkqm4VizKn1HiOkSavW3vj
mqMgbwuFWCbMM5dhFD+OxegdESL3jr04q/RIWapJOa3lwJAU49avA2XB7gVaSx8N8s4dp0ddp3Ay
Ol/KXvf3wQj/SU6Kh+a4eP5Mb6PKF1eHc0wcAuUBTn3/RiHpfNda+bjXpvrpPG7UprseSqj+pE9X
m29uMcYsFJxhotEFvZJpCMpvrZXZK8/WCzpqVOda0yZkh6c6+/GLiDJQtYuhNB8Ntmd3AflPyIv1
B2nFFtyar5YYY6VByVlEFpqyPltibELx8DkjibtPiy6+6cDMnZ63KiXpP5IJPS3XJfA4b/q9bwLY
88vsemo15bPl0pZTz/0nX2n6O1XLIdcolM9mbo1XlZFCoyOi4nJwNnEVlms5msZhA0tCCbq4BAgi
b60XaXqj0Rsnn255gJ+t2NR+/PITxIEBx3KQQOeYuAb9rLD7ZM6c8peJ0nVvU+nTBre5kwfKZddj
WVhwsDRHS4Iq6oZ6MLTzJO/FsvLkTCcIZXudShr0FExhtsLeTE/ymxK9bKCwynCMw530nN3n0FCz
shs5AMPBKEJVR6EzqaQ3YhsVqr4mR94sQJemzw3gMq3wn53MjagQtO2DlXpA9rVuvoJUWds7Cl1D
SxaJCtz+AFCMNLr07Ll/UAOnvkQo+43fHI34UMzF9yzIjDsmn6WaGt4nmWkpXH/pRUN5J63Ydx61
3vdPeRmdJOiy76riUg72QeutKDuncEmTw4kMu91AV6RD6MLd7KmeoI1EuJEeqYYeryImpelRKvRr
60pFnf1YO5q9gK4t/M6zd9vDmv1gGkxgpZ4ZaJYWFbTIVLjYTW+aGhJyJzWyBa/g7t6fA2XThdO0
BSHT36Wz2y1kSJyQbQEF8oRCDX8RGK0Os571/5ADN3+xmHRUx9FcA/pXy9A+7MYMcJ2B5pUp6rWQ
6vdVd6MJue2k1VFPbZJqAaKmvZO+0mk0Xvppt5GmHIC54uNVo6Jt6bdrlXvLRvkRSSxoChMoQs8n
lNazW0MNdEhJFCrCjtE2e3nw6RiHOUr9Bttcs4e/YiwXuqM3exgdXkKkaeYt18nT88VvrpH3Gaf6
6z/sXmVtv3hTMtAd5iG6f8BBg0z92+8LOsImHDJj+Kr30F/T/Ehnv1hPaOIgz8owZVqP1Paujpx4
J32RWFQMlcUAdYBm4ygGFKXC2QmWy0w3nKsE5krQ5AGbUVs7fjiD7ks/+cbXs/973KDDoWcFKKyL
HlwLQDDs8yTW5LZYmgHU5HtZmJRmYo7xG1OOnoPP16IBQX/4++CzGTQ1H5Qq/lKlP/SK9tDi6E4J
esAU9+WBfL2xzDzD2JCADe/T2cuPNrpapq5W3+tkUtAvzNtb+jT0bZmwiQxdM2FfYBiLeOztn4m/
aPhr/7Rp1Vxk6RhflhqvZLtsSqiz0/wxmHjlKxDtbKSZj84npXDy21ynGAdy7NrwjOwxSotmGyod
rQbSjGeawAd/OgxxP3028uc4m/PHIYWWxjBd8c3m1nQaRKvCVZtLOTqZytIL8xrAqDqyneAnkDdT
syi4kD/ByTS9T4Xb57cwAFZ3TW9dZwHErJYVRzsksrRVPToWJY3Sv4ligZFFVvw7D8fXyC2MewPi
mZ0daeFFY8X1k+t8V1on/P7hQr/Tvvz++6/botr/9vtPisqG0svWLV3VTVdiY97k9+lr7CoF+svP
9sha5LOpueZFE8b2dBGkK6i3/L1iG/4+7KvbMAjMjbSkn8oaZOVnm24aMu/AwLbDYGa7yY7Z44Vm
kS0dvdMWDnK4dL1D51hVdnlT2N3/J+28lhtHsjT8RIiAN7f0opEoypXqBlEW3psE8PT7IVldrNFs
987E3iCQDqAoIpF5zm+WQZ2OF1mVo/i76ZW8xUWQHrLB1L0nu0aGQFY5kHOOKCC9yJI8DL6Gr7ZP
VKUH8ruOkWLaOFPjbIvOn9ZDDIyPRSb8TbVNjxZghLchApXgZuMLSLrgroqdGNGd3mpnNMy01E3H
XcmH+PrIy0c5aoutadaHoFN1NCWCbBt7U/NgkvS6HsoEIqqZWukfDeHcRY5w5hGyc17aX7WZIF16
Jfy4PkD5WfWS6tD+PqtliyyT6HVd+PXOt6HEyFx2VNCbbVX7/CEOIIu3OtjGEyCmo6zBg/jPkEGr
BxVZNh81AzcP9zBAlFfsXz6bzP0PstS1D+jxuy+Z7mePqhM+kHZSXvUuHA6qaiIabHXKKySlaGsT
am2ExjsOAk5+Ya6OHxv+IWGiWk9KzKEKcXr3yrg6yLqs9LZFm41bPy77A1aF3UEpxv7gpbpbYir4
V1me3fq4c29ZZNt3HxJk1ntt2F03cSHBi33oly8SRiGBE/IMlawKAWMPpPlYstkLCCXf+lkFDLBG
iSeWB5r5oEWWtbRrVlDGXJQHhO8tZAHLxxltuh9rK0IivsfQou7xTPrXbnHVjosrO06dfPOQoOX9
IA85Us337niWBaKBhJ2JLL8ioD5hayEycyFbHIyoVpqpEbadh3r8mA5uG5+YceLLgB98Woj0LEul
nWTkL6J5Noov8pClpLgm+FUsL/6qM8uQtTwaVlnSh6e8Hr83fm+8JHbpylIZxcZLrEx/lMi5XUtN
pusvCbL7t56o9SNul6sZykj2tLfCeFaM5KwVw3Q9k3XwMI2FKlIA+h0WiI7llnujgN6/tp0uTxEA
nc81hNC2WZzmC4ec9x3ah+hMZV161F0fPp4y+vedyKa1QqrzUmRltDLzsH3B7N5Z+IK8xdBHP2L2
k9+sXOPnPLQwAKJ4YfYRm46mrhdOEmQB9I7umFWK+9UOm58IA7qfcq/wFmapZS8FLLGV70JG+ucJ
1fjI3HVRE1XZPDKpMpnS/AFehU9HmIuqcV5CFMgW8tUryg65AxGnexm+HhSYqqWqpnv56pWt6AP/
alU1ZO5l622sbEXa/67TC+Rh/5fxtwEhzjtLq6718ZBXmKHkbYhPimQJzJQCeWZ3wMHZDPc6CtRz
7tmNPXE09ahZsl8WL2Xt18vAs9GBZtPegXVUFP3BRJr1bXKjaT84xZyRpUikUF27gTEySVK0AweY
d9VWp6nVijfLQoZ5rNJtZ7XeOsB3fAf3p0I0CE3RbrIuciOISmC4cAE8P8XCsnZNoFbboI2dF6U3
LhFUqV1ghebOGKq92hT5u6UAG0cHTDth5aEfQk+31l5h969ZY7/KKPfvrlmT/+qKw6d27ep6w1sh
SmUFY9I5mS605JWWwp2Ki+7QIglC+GYM3JNOCvZktML9qmfTxeah/Koa1Q/U/ex3o8y6hZf50xus
NcxJbLt/GRxIGJmnd09pnI+rqiNIoSrIHLlVaD7kWBRtwIWG99iuqUjKmAjGCdPZ6crg7T3XyfaG
Ugx3jhDqwUWtdjfakAE9PDC23YD6Vhlbytp2x+msgwolBSi6S46r8CqO3Pa5qXX28nouXpm4kJLE
YOFT5CgpqAmhfHam6RN/Sf2NBcDJmSrnhyXQHuyKcB+QtNlVgj+nN/P0YUSb5jEvq69DbGjvWmCq
qybQsDRtIEJqqVjIelSLnG0Ntm0zYM7yHgbWLkzd8Fl0DwMP993kjfGuhCoNU6qJliS1km9m1S3C
Kul+jJWL4aDdlS+Rj1+GbinGoa3y4OQGFgKTahW8oV37iidJ90NBRrzrLHNjF6jejexploWRdBc8
54yN0an9wQG7zYQYlBu0f8qnJouZLkMj+4oV4UYra6yLiihdOknpHkj8O9eDLNoE3FiDWOFKNiAz
J+qFPFWzmFPZ6XrqzcONdsoPSfTHZWRnN2rF0lGL9E5XvGY1CLW+99VI33cIV2wCUIvPAB5zXjhm
/sMI38UUTt9yXswI+efqo15N+U6JTXdnKoF+VkKEhoPKqb42Qb2UY3LX/YlGb4G4pIkbKj+9g2XA
zFa03AGwHqIh6Ncqr8U42zMbPkVy9TEfjHmVIuvrbnoC+fmr6lZPVvJJloSvQ21Jo+Z6jb+tkxeR
dxj69FNmABPAYcFaQRYKnhEkbZAgc8+6EofPssq22n1DMvlBnatcr84gUEbqVjbGlpsBJyMZIIue
PhKPs7emgzXIshn6NfS6eyOd2ge7VdqnNoxQ20kIY2l9uqs0y1j3c1QL6nS86HWveagMo3vSu+CP
bt0I0jLz3nDqGnclYbrME2DW9cqtj4MFdk0eZDFL8ODCzixfET4yzr5WBOc42kPNJV4pqxRhfTZU
r/1VhyLtiIdBUWHAwwBWGeXhn98nxBn+dYGOeBMyXtDlbYuHU9PUDwCcyshxY4xz/YX8J8mYDXNt
uReTu7WJuz1W84t88rwttM1fpbntVprbZM92fq1jTvuh7dbz9zWb+Zq/S7/HRSibbEWdTwu/90mn
+J0gveId1aYHM+na472skYcRsNRWiXEr/NDQoAR5dw0Uu26mrrw634eJBZB9TrnxgBfYKfk7WZIH
c5aSZ6Kol5oVigQEotstew8hrzDXlhO4JTiAnYdKb+TvIyN+jPKYjNNcJc+UiHRNF0wKb4y/Gohu
1WiuB+N97DVrM5v0czCvWsesKld2olTATnIL/GasHlg/JIsx07/WxHmfI839gZ9J+FJrvdiMua/t
NT+x7k3TCEEMB81dWQhvTTQKZlFrXZwyK5+SMkeZzS7e7FzER6sjNiiLA3hFZi2r3dRDXr6Nkx4t
8Zexi7K7V9I8WxGT0mGbFDaPucDAKKjXk9YABW0UZRbWwqcIMSKco6bpi6UXYjEmfYs7WeS+dKV+
MUi2fstmZdahgBEANMjepQaZ9P+lB9HNAilmTd9C5NFQGWxJauhZdmIPjARpqWavvMu+IxHm/9D1
967tmnMKs9jc+Q7eArqJar7upNZZpAX6UURK1oDxrU9qiVL4YGXfNCX91YNPr+5n6uDasUlfNaXZ
LMMsYQk+Q34JqWNnU7NX1ktALmBOI8UVhytEzg+74BiNwxF7jCogRBAtWqWBD9rEFsodQv8ZaOY9
Yebkaw0veNEDhX1zywrjbZEmz2MfaSufP+acRh4WjkDHT1aYjbuhBcoyRn148AcLn1W3cE+EG9NN
XCMJwH8MUQaDhDIOJXazYQ0+nYxqhAmkF8ZdoCrjp2TgHVAOHjFzvz4NsG0Wst70m2llhAPd5olr
qIY/uqkJIoLtPIMpY87VWutXtySB4p14P3m1J28mXyEiCvV7gNzBOrXd8NjGVX2faokP96HTv2oo
jwSq/S1S1QK7nYQkbOAhmdzWuMHaevWWFNl9Zif2tyxNf+SKqJ+dqir/r6Wv9YFZwFTlaYapa4TT
VMuE7vavSJB2SDQHya/xBbSOd6nNV9fomHiRy9hbqOaukjSp3rMoLhe20nYPvaiMx0HXkNagPpmS
dT+KVQjraGmUQ3InNyKyGDXWn0XZahftocIswZvc9OhrWDOH9VBeUBKvlwPRjncjmx4jicv18Nax
nOpnY5dfjDF13xToh8tMaNkdyZ+fbduoB0VtSN505fg5dPIL8v36Uz3Xh4DxER41xs/9sYr94kGo
hN7ljr5IJnUjpiJYyv2+jAuQ4BpOkV5ad3bqmO3WKtR8UVlGvHXSnpUlxHFylW5e/wqmO0JbgZbu
j06cByyQ1EHgxELZDwpxDAZrFm/HNu9Dg+xilzZDZMfWw/s1c4eX1rTPEkkosYew3NPjXKVAGngM
SydFYgL/JSi06sl1MCpz1HkzpKoYf3jR8L2NYFXqgfXTcasLfmfKJwQFrGUS19p5gqzO/K8Ri/s9
HFemX8P55q7DbSswf9ZRf5mMMXjA5lDsnGjIHxpoBYsisPNPdR21G3SGs61SN/mn0LHfO98U5wjH
4icPSqesHr3c3SGegMTPPCgf2f2Zeu0fzVBt36JiZxp+9skrShvLPWAfsjgo4xNsswcpxYVb1L0T
W9VzINr0gJpdv5L1QR48AKqrno0WgVxv0hBrLzdmi0G0wUr+CHj8z8OtTnVasTYLHAZkl1uDLIIU
FWsYes4qF824GvQsffSq3Fuz3FB5UUY9wpJZdQyqEec6loX7DOTCweAB3Rlx16ERgni4GvRwKeIp
W49ZPFzS1POXpYtWWtLiyzVoWvcJH6pZvX40vuj+nAMuix/IjG3GxPfDxWRtXQss6sLAqq9LUBBd
qAVJGN9pv3VB9GT0Ux7/7AFT3MmM2YBBY+l3yaM6Z9MKN9r7zG+Pso2MzrXNQL7l1iazcP8+zkvq
cNWLXL+yBzwzsgGVeuFOIjDhxuIZWYZQEWf+bhtgIWGKtATqyi+ye/LU4I5lfPATotpd6BfRO7EQ
jYliSJAJThGgRdpmk8W68+TWZLEjpFl+xPaSp9/5XuOPuJj0XLm42lRsWxYD+yFALimoWG9WOIm9
F1VwiLy0PTU4T28dInkLAp/BTyCnWW4aP5WyfS9ILr85HX52FTZdD4ZTjrvJ0Ms7w+/MTaKk4SGJ
02iTho12MGotOqltla4BfSVvhkhf0QHofoByQdzUDL+MCbodJVK0Z4gRzDQVis1B3RuPGAGGbIt1
66sjPrNkRlxWCgZGkqZgD6U4zPnJmwAtiKDhqk5rauOAvkEx22dZ9rkX7XtdesOn3h3HjZObxBpn
IFaroRXbKWg0p6I6wmuKlmprRp+6Igauxs8DY0eK3lSfuiYQl9pv20dRJE+6rC6MdJe1I6I0c5Hg
HZFPJfyWW6K7J5/AV1FCRrqBpKZodMg0R8Ty51WcPIxdv1KQnHqQJSd3ol2dhltyBcYhTQYIFwFa
h2bZMDOoqbJqtG72pBjQu8XB6nMblI8xvw7cUZR1kiRFiA1leRiNPvjaThqk8yAycRu+vy4MlOQb
E/Wrj7nnW9lq065DHxsfUYqe13dLReFJu7byZ4k8sO//eZ1u/9u7zzYMAsQ6CH7NU/+N4a2JCYq0
XSnP+GJoYJsMVC6rqX9QRZbsG1H7G8jBxbNfsCwx9cz5XoILDFoe4lvfERYvrn/3LAvoHpX5c1mF
6aIsDPvWPVNRpJKXTuE3IrA4950vbc1sksZvkeuXpG7sU4DUp+mhJeL7o26RCu+K5HPb9OYyauP8
bCa4KBTsO3ZBocXnAI700sal+XMGIztgUS4H9cJJiIKC05jATejzTFBaWfTs4Hugz/n4EMGr51kA
XjITZNvv0phMH9vmcaBcnP9DVgbI3MeNEowTAyUKFTidirTKB/IP4RvfBE7oPBukdlcJjgflG0Y7
CyBmyRagWHNwVQETWZ7WHenIdj5cW3Jz9BDinMtpQyZyGt1lkFkgSe3pJHEuEg4jzz5gYj4UhcAF
pZpa29xBlkIbqOt7FuC9++RoOotOt+8OmlI5xzax+3WD7MMLUiXBYt4F/cjKI5Ia1nc5COMnBjlx
t1EN9vxyUJMEPJaha7w4aclSP33Q9TL83gmBJVXDU1IFBSYAgGFg931xWnv65Glts4TLYl3UMYEE
nkT2qY1NBXHwBB8eNQlPFnCBjTkJZe+F5mvoE1DDR7M+EqLD72kOwijoGD/ncOJ4V4rxhw+8uTX5
gYDHA+/Rxy8i8ZBD9upfgwiER9dBbFur34NwZwApUCPVVad6dB0Uz3eat03XO/m6Ip6xuyFFAgBo
25se3uEAO6PXqQ2+wAnTjsJIYjzKMVORUcbGZy3bDEOwM+cYZGXgwm5Vo3eNQSIvtZiBSS9laq2E
Oht4KZr9qex/NjPOve3aYVMTT9m5WFfM1SjNF+fATD5lTuYjjwYzvWn0N2QM/XtZJQ+y6OG7TuA9
Pn6oNxtdX3aZqNf5eEk6YzyEswAiGRCo8/PZ7SDrkqAvd0l+ZIZye/Zt6lOezIDj1LeO2pzadWzw
tLqb20e9t/UX2Tp2qnWsvaegHpo7PUuMN6wQNyTp7Cd1cMLHOhRP6UwCK8wGB+EM+2dl0o210qEH
VJRY5gji7yv51GrumO+80e2uRdma2SV26+PWKtuf1rw1GwDqbwjj2FRRVGLtVIH/vPjFd2PEtbLx
RuckF7ihtokctTpd17y6a7f4zPS4ARKcZjmToO4m1Bj1tCYEXY12I7vMAKurMMT4N8yerCn+s35i
1zfkVvY097e6zHs39WM6gvDPWji2SReuTfmJoqy8Y+nvrtDyVXf2ZPEPyMJpkbWte2qTsHjBSWst
95lj3pV3GfHhpUj07mkcwnJbuka8kYlCP0GYFi1g75jwlb3l8RmrhfEV9NnzFQQD1svAHEJRN6yN
nX3md8rJ7Vu2l3FbfbLaBJd6Yp19XO7tLLfeRTLEAMW96AEHXv/OU3BijALPvKR5qi9csCrfWx1L
mOZnDtfhPS8uBIMLSIR/nSjKx5o/m3LQC9h6/tEnr1rnXYXcJ1MOYF/mHJFDuHX+OeUNKSM90oKN
bO2hSVbF+NV1MBpgr+7z71xCJWjv08hJjp1VRGivNc57l9XrJm21b1nR4fepJdNjyiIJIKDtbrDa
816ytn+WPeosYsOKt3pbptW2c/PoTku76tLNwTfZw0FyvLT68VQyp63aWW+kng9ChUyjhpm2crVw
ZF9vx1Q6toEGtBO/ZEN0b+hpdZYvn4ISA8qz/BnPbbdSawR/lH6P831+iP/89vdU59/f/zPchsyP
RqLu33V6kAxuFLxixufJ29cKIv93UQYmCctjXJCL2D5IYoQ8CzqfDZAJx2kVN74Clqz3N12OJA3k
FHj4xCYOlTm4ZM/V58RJvLXNVLUdcXDY2H5OVHiGFkuQcTwrFbUF2jkVhLUIwZ2Dzcz66pjea+4m
+oMsqcGAg0f8nEREbTQ79/fM2/UqwGb6Hcb1d+QWs8fSa5T7ZOoHTB5wXhg9PJCzZHjEF7WB/Nd9
t1Cqfa+JrIFd6Me32MCdLarTczIG4r6IYaFHrlvc157j72JNYIfO7jRjD7keu6p/GnR1wqCo+6xN
ev80Vrm+jPF/3NgeWYWSd913z24WBt/dLtFiZVf57dexRgcuM7OS7yMwVkLz6i8aT3uul86bOZr+
FjpwvrWrsnsM7fKUAuV9TzNjJfNKaou61CiK8OzE1aNQwvhuGCL74OdwUeSB1ycIxaJCbm3mCc28
qv6n0HnfkqGJKu9TWPgIbRpqjS/O2D6QEuNV2kXj2rCGalMnvvlQMzsthV+5G1eAKFjA2kZRqEuc
i4t5owEM7osGYGZRlFgD+w6y4SwuNoXqvoVW3n91XWzPsblu1jG+KFu7VrUlM4B482w7wgg37L8F
0OHroBLhojOe+9z0flq98simeNeSnV+NDoyFMcEHu8XER2Shu03M1jsUQzPsbFfZ+1OB790Iiz3F
N1sFXf024W206cHFbQq/Yweetw96CX6vAXT4tUvE2SXZ+oOUEzEbx1sGfuhukAtq9ymwGMn2o8Nf
tMB8nHpoC+kRm534UR6qStUOSgKEb65KFKVeRhl+CaVVaCfhjPAPRPlpcMtzZeflM6jcZ6320gdE
lNSXQtFei0BzUOMum9No1WeIAED6M5xGIu9HrHb5UY2Ciwev+y7A7NSEiF2YR4UAtLeeQjt7FzZR
47JT640sKqP94JZsD229F/ed3Q6LQMnzd1OJo1WtduFB97oTME0X/DMKV5JBE3qcVWg2JWUYbLNR
/KqXjQlBTMI1cxdZRgnrs+IU+ar3xxcyI/lDlcYv5EAbbN5inqRJaHshmv5VdZmpgYZnW4Ik33nv
isfM7Y3TMDg7KzXDaIksGgE9Ewj63KiOPoL/g+Psyyn5So6RHgKFhDsvQjPrWo5QxMVaV8czcMj7
dUlk+ZVlTLcGes9rbS7aBsY6qqd1dzn6zJvIK8elwPYdsSPbyA/XU8fs2Cax4nKXYq5NAl5Qrq4s
Q3GP17a3z5vxXGEi9OBm7Zbd52xZ+b3AwWuhxu1XYVr9eWqzcqkXLv5U0ftUA/SN2emMXdz8FOaT
cB3x0iShd6z8Ce4wjhmrIcHyuYuZ0pHw83eqwPCm5HE+Z0pXnvP5zDG1c8akf5BVsrEvmmwrBBY+
sgi4KbtXtPprQkq4aBzruU7U/k40dr2URScKJiJvyZdYye1ntIXFJeuwf59LZQFjMwr6bj2oA6Yj
8wE02a+zNDH6bR/aX25Vt263vh6MYlIb3P33SMduDqB4f1Z+6e6Hqonv3M73oIQO2S4yteAkoqjZ
hrWR3JNKHDdGaVQPk1s7ay9D2gOn37PHm3lXZEV2QI+43Yc8/rsuKtyjgVLqRh/V6WGo2mLtA/64
dFOC9LQp1OcyfaxrC9SBO2WP6FrHu96s67s48NqHMeoi4l5p/a77+UmteNKTFGyBljef47ozliD1
srNB2nUHkErd9WWXLKsCg1KNKOqdZnM1YSnzK0NUS9cxtC82Gwtdre0fbpk9aawhlg1BxbMwlDXi
IuVPE1JZyFz4HvR8QhEmxdnKo25Xj1jd8ChtE90V28ECK6M6LrEFO9TfVKv5qttZ/DO3T6A0EVjg
YT7b5J7fndAol1WvNRfkXrpNlbbF0R3qgxeTE/QDpTnDMMKQpCETUBXDMizq9Icass3yMKR+sV08
cKAXFodpMqwT1gSIKHtC+2SK8UQMxCVR6WlM2ZtGtasvUWhNa+Gq1Z4wpXPJG/EDbgUTJVl7dsQN
VldNFx+MKEBlLuvH+8ybty+WhTl6GUDLaMedhkHK1g5YIiHQ9diB0v3mAZNbaHk2XsbMFCDMa3VT
5333RniCBAk9onnh7FZF9qgLjKi7odnhBpTeOZNn32lTXBz5XybbUW3tB8+svBWmFagVDbG3G7Gd
OOYlcPwh8vxnyzSbs1MP+wRmqjDEwqhI9wZDm54iZBS3ZJDbtQR3BXyXK1tE1Z2EfnUIm4MUcVs0
jYB+NZ276NA0fVbVPr+ofkHItLUOVt2nS8PsxV3XYWU8uVr+DhHjB1mX4Vx5UDsKI/wezXOulXiL
slfKZaQThx091b7ro37cDn2SXwJ9dqTA+vEbrjWIeXbaDzwUf1Rq5LxUqjmtNS15d8e6xDbP8M7Z
fIBgLxZ6zA/VtxVdWRAI0lZT7ZTr0K+9s+zoeba5dWPMt251CHvBb7GYWOaryG6pNdhn93rt68Uw
ztkGoBp6Mb2NShCu3aLMT0pAABB+IOvn3kiPXux9dhLDO0UG++uweZoMI1rqk45grQfLvcYo1nO1
UwlBZTmhrw30BFF8L230u7xPx4dyPkS7fMzyDZvjaFeyU1iZdqe/IXf6xaiH4Sf5uQmkMgsVdtu1
kmK11HrFWhD7ZrpMg2mvpEzUpmLhmzP7S41KvEorW3ux48DZ+YmSI7WJR7SjpZ/AzKSryW1YcKnl
eJx80CN4Pjqb2DYG9ICSYuOqo3Msqq7rUVLqnqzCyXay7nbQGvevLo2rE1dzgH+xGkGRsGne3EZg
GOSY0WuPqPuqzyzjnHghW1SwEOC5t7ExQRGAkAC+BzlPoVdiMUXtSdQGW0AiVE8ZeaYFpOzhTtZp
mYGF0oRPDgyuc2xEzg9yUbgg4PsauJfAYJUc6eoXVVFw3TaLaW8qME0WPtrJ0TiHJipFsBBMPilN
lL4LNQSwDhxoBi67BMDDPaj0Hrk/A7Pdwa3XNhh6K4xISAZZdFTLIb+LppznoVSVVeVMOqk9z7+M
jrgEdnCCGx2EiAMpBFiSbutrdfFIPA1KslJh/6W10MZtVk1QausXuxjj00Bcg1BIW78kZeHee4n5
zO/Hfp5G2DzQwf9iiDuzWsyNClaxi1tVPQlgSRCXDXHV+Pdt+U0W7DBU14UjkpXj1NM5QRprYWjt
ADPBmM7XOtQ+tnrqgr2Yu8gGdgtopChowFBTijhZqlbOAnhWBMSapzp2XfrrLDXKZI1spIXMl2ha
8rD0uZ4yE/G7StV+g2Q+snj4AC0UFWp3pnn+SR74GXh3HUwrA22Rk4WnaKJn8WNbKQmPP9MiK1jn
UZsGxFH4Zu6s2nIeZV3rFns9aaZdEbs6AlMwuzA3JAs/oH2o5miqVFiam75xVsfRWhp+GDyGfOrt
6IzpTmFrWenBBBttnEMIDyBYV72lmrymQW56pQ4XJzbfe0h9p7D/PhoFidZuLDeeS+C2jBJn3/gN
a7H5TEuQz7lWyrI8tM49Wd5x03dRuyZsSoqihAkplPTdT8LkM2YCsyKK0r4y32vLNsYtGixKtMb9
1H+wVX4UUfKFzRUJ+K4GvN9ZvFrmojwITwdVa3lEB+C10aQPjr3PxUoRqX42mktkNhAbVRvpFZ8v
GEkElJNVr07vfFsX8Dc0JVqWE/EAM7HSVTQpxqM8VCGUQFZb3UYL1F91ddt1JGz06m5Ia/PaT2ja
PQk9+4jxm7cp0R5edY5m7tuISIuHhvWzFtrNRTRioSLQ+mw6/dpLVAVPUBPQSKO9GSBWjwQI/GvR
KrMMv3sRbzK9xAI273HAKJH/3yLBlJKLLb65flzgHCDEnmctYsdsDo8WShrL0UunreX57iGpldcw
LpKLgCFpdnXzHIxjjSeOC+mp1e7LQKmfPUNYyx6NamZYiriw+FutJzSDu+u9VQCqgrrl3+ex/V2b
pvgtyOL6LlJDMkJekLzZsGXWpmiinWyFEYF0Y2iWoFdoxWYCreJEecKRTb3w/gDGQvXg9PAWw9lc
nI3mwVEmAIO9ZezwfkpXqIjYMKaSBsEm0GPwwO2XjFAC/hWuuiKuT+uoatuy4PWuJI5FiCVEvhGY
6FqO1b0+2JZa2a2vYztAZ7ztifPNnVnhNZtiAhkvW5Oe2J85TtW1CEyLF9Y4qBvZORcp+c3BRLxz
vq8aJPm67giMXccOg79ySGhvZWejx7y7Dl3/2praTYe+RVbtrmMjQeKtJyUk/4RkCpUlGdZkixnP
znK8/qFH+n6TRVN5dJMD6JPoWWmWvaaKZ0Vz+uesHl5hUXmnwsyHXdVD3lSMQTx0LRJ0Ue9BL1Ii
+1rXal+qCT21a1WPWMG9SbLZV0t0bmN2zADNw70rXPEgr5HXUYrmSR5t3XxYZk4uWOJFOC2rcXoI
AojfsN6+5QSnvpRliB1EYViY91rxLhrcfdtO2bmzkpdOTYI3+Mj6Hl8L1Ji9IXirE6xOibWPG9kK
eKBZkiP0sFSjtTDrpwzH7HMQucZr96WpsmCnh4W6KoVVoxhi16sG3uq2iUly4mmBDJJX4g6yji3n
r9N0PjW1rNKXf3T449TMtHKTjIQPAuviQ8J8tfnznjwTGO/gBa8Gv7ZHPy32sqRYwnyIg/EiS/GU
o4CZi2+yVPNHQ9+OKtKtVfg61WgHuQM5OnnVuJ2MjQ8yZRXj1/kw+uqvg6ncOYoIHm7VLPhL/JeD
F9npVo/JsbYORzLFHxqKIFYXlQ9b4NZZdiEewV4HHTPx+3Z+z4bRqjXtBT78JhLt+O5ONt69LaDm
UcvVk6oT7gI7vXLReoH/XofLaAyLe3moZlMUeZbit8vjnfMOd1ABkXXa77O0yLz10EMo+dAgO8tW
0SnBH62QfbBfsUVDVILY6/WqTeMu0mYCuNdBKibAMk75HrmwX4eYpcI+nQ/y7NZw63dr+NDvP+hy
u/wEID5ZyOvfxsnirc/tTv9Blw+Xuo3920/5t3e7fYJblw+Xb4IZmPeh+cOdbpe5fZgPl7l1+e++
j7+9zD/fSQ6Tn1Lrx2rThdHl9ifI+lvxb2/xt11uDR++iP/+Urc/48Olbl/Yf3W3D5/gvxr7z9/L
317qnz8p8g41q0OjWCIQwtIumh9DefiH8h9NpKIYlafur1HXcmcmxfUq1/J1wB/D/tc7yEp5qT9H
/f0nut311kcl7zytby1/Xun/e382M2y9hRmzOr/d8XrV631u9/2z9v973+sd//xL5N1bOBBWJfrN
7a63T/Wh7lb8+EH/dohs+OOj3y4hW9L5X/6hTjb8B3X/QZf//lJg6rvViMPPwozH5r4bQmddg4hf
ymLYz5IBZt6A3KEVjJa1VCvXXyluU+jbtMHUr6k9VpRzs+w4jAGYOMArR0jq9V4v8GxayeagX5tm
6p3A/MKgk1X95KWHCrtQIOElhtuj4axMkkpLeH9L0gxAL2e7tquZm/R1k5ZucPaQ9JSn1jAlyvJm
9KY7vwbeqm5WcL5vxKgcN+kXP2qwwEbyeZlnWbIlJ0U8Ss2KC6jMnVnl7T1iS/lFIfpytLz2LNtk
r4ond+PZ9bCCFp5f/oe2M1uO21i69RMhAvNw2yN74iiLsm4QlmVjnmc8/fmQTbNp2nv//4k45waB
yswqtKhuAJW5ci0J0xOkxEKSLUcJ0X2VV6ScV1NWlYC0LMBwmTFgweUi4vhfXl13+0fH0n2SqP9y
ZW+CeUn3fwS5QQYud4fLDBJrWtlwf1xkjNhkuB5T7819c5jvIbapEFKMhBTD2zSZKweJ895Xsaok
3BUmzbtaSUeLUcdUAeRUDmQJISm9jT8EJa57AX057T/MAXn6V/gHK+SKqbseDRVp7wYKd1Te7Pte
i5x7OUvRruj7vLt8svNCFG14P+U79GnC2IbnPglga/hrDYmQQ8n2FhYou9/fbHIWpk5/RxvkH5/s
skjZuKe6nO2jOMXkpMMuU6fhUIG3BzNJnRAhJ4s/kbPO7dq72sUpdjm7HYDX2ScZzkKAJ6cuxRQk
kN/myrTGjPxNZNQtmmfZuAMC0KNXPuveCn695nFVaSRJEDVS+NYCoSZtZ4+72CvaxyFQ28daK52j
07tfxHSzQ7/1xcpal70GoXLIgCPvbDPo19MyU2zXa8hKN6Ncx3WC6Xodcajl/C0r6mYvbbpyBg/U
01u/7qfWXUj4vHJ19V3PpWdXunehhQXt0G48eDlDarhHtTWMFF7zKmuOSqXYnPuKWv/tvNWMWl1L
uN/W/XhqNd1eBU2fbZrYeOudTpTOc8lu0EZ9OxhlA1kn2XwxfQj53Hkt/iB2acf+EGoo/iDTpREb
+oJVhKoFwmnkrE2DRukmde1TuIAiUIhUv2cF7ECLhvotIrQ1DdLgIVvrh0+gnyQDfL4To7OohdL/
apEA2RTv2CA4jU65HVA5WjKA/FKeI6qoEFf+RYQHIXuGrlzbX0nzSuGTXuJaqmHXOKAWwxbWkwbq
uLJ5WhgKdlFbx5sQqvdwDVIwBw6SxZvB9+qncpjqJ7Fpi62jqTtcN+RodzIW96d1RjV+aDo/OPR2
M5x71erP3kCFeCXjGBb6k6vfF10x5purg+QTeIDR6X6EiNtQuNd7+JeDcnNbocvjt7U+2cJlPV+/
/2S21UjZK/r41L2rhH54rrypiNb+vCaHoH14wlwfO5QAT9cYGX+YeX3IDH6krgNAT2s6/ODHVaiY
Zmn0OtAXts8XUTk5pO9nk4jK3cbi7ofkOuOTXYbsoPs9yP9vzdC584rEJ11THk3MmRkpl9sh95u3
oRm0qw6YyFmcYr/O7enGWQdzPW9v08iq+5u+rLT1le3WpOGQNqgBMkDTiCJAwFq1VZzmV2PqsuDY
5s5wzuOcjWnUVId4TqtDYqSu+jxY5A7U0c3XElMvgYm0KkweyOiOqht5yHsxuaFerHkZHaAHaTQ1
W3u6DV/x6Mx3POa0B5pZ9Qc5y9AB1eeou9zsOtJt50y34C4i1FMB1a60sbT2Dh+bFj+MtwNpPf4l
oL43kQKJ9dUdmR5Ule9Xk+hmueRYKJRkuNrtA4R13pz7xrxe7YM9TyvQMejiDbN+mNOo2pOnVl+8
LoOoUvHtnzriNWGXDT/cNh/WNU39j/57bGQ486fYAb15LpNW8CkHGiWAroEcLfUa0kl5cGfA1zRc
3ZUdkZEE6fBmK2isKsYKgZVlxnWyrDOES1KvCt1Vs3hqeMy0jaxoj+GdhHyesqxNa20E6zszxFtY
1SbVHWe0H8Cs51u3gWiY/zr7px3SJ6Il1W+hHcPrYTXpQ1UnaP8iZriz6HP5IrFC1/L3WLWfLco0
QB8UvVZWjsYjSXoGGlQPaIZJGC4wYtWAV0280m0gXscF6CBemVt01CFVzzC9eu2zztqkTr6qFz0p
8vVk4CvwU7eheKtFiUq8WYGGUm0CaGo0WH69bmX6afMAUQkdPMvZzXGzhYsXBIe2t2O6FSRODgNs
zFcHvRs/Zyp88zBQRL1NkEt8WkkuMcF2AiM0C0vw7drp8qFAXzUX9OhBa5jl1p6A40X2GP9KHxTi
R+qvAX8AioURVMNDp/1aWRogq3J6mYqB/jwlSamEB9qvTq46FD9V/xKks4oAIl/YZbqsmrd5fRjJ
9/7vVvVHHW4MRUHNipfHgzW41l7zezqzwWet4A/rz5EeBa9hOR+Cimx/68bzl6Iq1uNCjEb/XHGv
d6gGBUsUTYu8O9tozIjXS/SKfwpLileWpCtvOIs3MtUPS+ZTTqGYNdy2+ElJIaXC4BUg6J3uWYVw
/NC5ob1D68j+qszRvTyHbxEpwM9DGTnWLmwsSJdN2KmGVT1b1V7ek+c4Mk6mk68/vSvTVMkb+Kyq
xsmK37xvNvFETf3BM408flbXV3UKPndG0bwkC9eCkaaw6JjNsVUHZbh/H1IUDS5ymHPnQHN0ebEV
VAlZqLhrNDd6loMHwKNMwOLJCG4L/VKZ7cnoTQRgsikb91k39NxkmTDz+392srRdL/JL+wIqOkRi
WvVYtp1zkZBJ94d72533twm6PSd33EHpqpcJtDJb6xb69GvM9bpz8lAWRXhdxIDe8SGcKHzKp3CA
4SPb7lsriZUDqOl0A7Zp2JnL8rPilusRVYQXJd2oMdyuRdcML1NQ6+toQPhWbCOI2zOoqJ/ewvcq
pqowoQrK1IuzmAbQ6buktnmLXIYlm75nw/omPgk3Y/pIvYyWnVb1zeOU+b/CHTKcvCAYTpM/gkKX
Uzlwe1cUdC3eAz5HVe8eiZGhX7RBtZIxVGfRVrfm/rrmLSYr4slf32bLulY9vX2O6xIyLjPnizrU
wf5TiN2oPFED75fQqlFS6Tzz6PZKBHZwVjmVw20sfokUtwNV1lukjO1b5NUloRQkprUWwDMiQbKG
nN0uiTaBYqz/9WoSyR41hHUQZKKqN+ODA8HgJh61ZCvD3gux9cb40LuzsxrgoNh9cvhD+jOk3nL4
bC/GY1hm2qnO69RGToVFRvdFn8rhPtCDFnBS5uw8dpZPkNrXK7+eh4MM5ZB07rNq9vFZRlUca0+d
NW5yBIQeimXkmUHwRGPmbUoFC8el66w7f2rmaO11LSwDXvabRvt3tIbjZeYnokP2J9OXC49mOOya
KAOnVNVr4D3DU+2o4QuNAOAq/Rc5GLHdgiCy/GO62NwGoOo8K4i7LEOq9d1DHujHyvTeJug9EAYL
HTkx0YqWbZ25hzZ2iQd7m5/7wvnzFk9rIPAuu3mSgKqvpnXQh9OdDOe27ACj2dFahoqbGs95+TVL
0rerwYpUkb60nYORtgmom8IgaeMuKn1wicb8y+JgA8V6cRFbVFiAiG9j82DQKAdXPwH+MkmiZCgH
I7JjcDRFsPnkuA3RbjF3oWWDEfxqaC46OZMRIJXiUmwa4bG3AD5u2qGZd1ThwxffjcInNXJX8VRm
//DKXBNJHolNDTd4kfk093+eLxEh5LTXiNsV3q8vztsagILh8gWE7kH1v7NCOLySGsHIlU3zzsVV
2i2dGQFEAtbwe93GwTFeMNYrie7syFlPoTE+yqGFNfVS+g209u30mNs0eWSxn+3lM0ExjSSDVZ+v
I5cyWqNY4yqRP8e7Vz5d9i/elJTYh7ndMndY/nS5mlh31KoDOpxSWm+Ssj4CF4RbCgDs8xiu02gp
+C+WQo29oz3mf4rrGlT73Tat3Gh7mxMMRbqa+uBtHXFAZvz/cZ3btcf/+fN0/ayuDQuGsiq1jHPR
6Ps+1q1D6xu8b6V9b5ynimV49UqNc2ob8XGkBRhVQOMspkG81xgJr2jK2WqtRy/JMkUiZW0ZKiPq
EZsqgPCpTappK0ZxX68o4SNNSFuar+pV5EbJ2126nMD5rErTmO7QxNiifheZa5Ia5jGqMgvoNvf8
NuCRh8QEY0/u7+InlzO527Jq27u39xp/jA5k+ZR7fiDBg9ul7m4sWgOu479s6uJA/47OnFq/2nOY
dxDyXUJQMP/W61Z5kPlikgkaX58N3xRoUZb54hj6zD3b+qTs4mykn2Moz2AlqvOsWeX534bikJAJ
Vmu7nmmt/Z9jZaU0Cn5zbBjRavulVAxlLWcmoJXrWb7YylRB/O/d+9/jkANVQAWTzHTT7SduLBnq
wHiVPAIw+86ZJfY67IMPMtwp0ILUN6Bty4KL5gQ0n1FfNs0MjPNoGgCY4xdjMftZlxwn9tJrGVoV
rfdwJCkAmOfiVddIwpMFgnB0CeaN/rrGzDvNY+yELwHNSq8cEn62Ju8xKFzYGXpv+6J0nhvfRjv1
NqQ55NAHEJrslca7egPIyp5i27TOUISPjzM0KdZkdCdI0KZH3+TQRAos2FWkb5y+5OY1xnZynt23
CTJLDq6RXqfKSOaPVhJvHaA0m9KtUnKd3bQvtMh4Kmm02nYleTLTspDUW2y+YrbrsrCba4g4JhZY
wcyWH0t9+qMLLO1Iath4gtT0qMahetG61o3WxetEr9hTu7imrlUumj3etYbjRYg8Z9MxUfQ/r5Em
zVqg081iLde8fZg0gOs7BhZTgmE/iT1tvXZdIfGxvy51+zDilg8YO+n1g9yWK141L3EOeawHECaw
sTOW/aQbKf0dUH/6thS29KubUZtmcLeyX5RwMN9EQlp/jbktcXPcbLdlUPuJVzO/U7Tux6+k0F5p
qFS+tMVk7YvOLO/arE6/wOT3Qwf4+PvfA8YIwYs6IC0jVECTSp+MAZGXkAGqoW1s7Cr7ODSXoQSL
V4JvQ/F+mlvYwNNbMNbrobOMS5aABxp99xv4Vs0/Bhp06TTxwPJVl8pEmiY2L+R2jYtEN2O7SWpj
OBXtn2lhmccQiqcTnaT8V1UKOpV0hhY1JGJYUaMfT6SExDstIXImh7qhSerq+Ty2o9Y42v3vSJrZ
9EUvcbKcjEkidbRCV8d4CqBrD5I+ow2agzFroXI3ViTsZ54j696qcvfPNDWzE2jgktRnlGWnBkTU
OnF8bS2TGjf1tlHXRbxb5Y5iXpDqpWt9mOgAXHTulyGsUdODF/qI2CKKdfVaal8/zUgDXGjAe2XX
WXzrsnheaUXkv3YdcCStL6ZXv4qsldc2+avvIDtYFIGHikKjrBSLnt3OoKOJsoF31NBivvZpm3Hs
X4eaUD3AVvNhePNKX93/dm6aBtHaGdiSt0v3p9EBjzHqSONdwXMu9sJ2QvkMFPtEzfA0BNVWbCOQ
y3lzdS9Tsr7QtvWygklD19bT9Hrr1kp5B32Ku01o2/1VT+KvDS0GT2pf6Q9DVqUrsedZb24yFRi5
t4B6aX/m1Uz75s9Ve+QP0KBUkiW/0t3WrJrA8+/BAs7PpdI+iT3Qs2qX+qZFYoyLRE2760zgRC08
m6/RdyOMx5/DHCBXwG3tqS/b+Q71k+pONbPgme0gGHo7t39G3/UW/hOJhN5serJjaGHe3qzhm6Tz
CU3HDRQWKT1QKVmjeunhEyOtBul2mpz0AhrPecgrRVkrgcXT7P0syEmVii16P7t5r2fxWFy6HHKs
KLCfQt5eD3wXjXs50MRu3luxj2ojyoGrTw4ZTrH/VJaZe5DYWwQ872TCLDCnfRo8Q+6Xv2h1Gm99
Fdh/0dA4FitlubZ6J/29HeP1bE7j9wB1se1cJx8jmqVE8l8jhCcqjaN1FoWoiQYKDR85VJt72G0y
fkWKGj74oioees7GUuEEu0qGh7I5cW4K4wH9DUpknTw4Q7uNtzjE66UuP5q0vkxKWdMUsuxpPkxb
1qYGPJ6a+tIuUrt6T8LXqLzyeQKYeBhcRd+Nc6l8JYN1jTBo+lllE8RDdkxLVE59WFv41hGB/o3S
s3aCWbd9hkdxuof7/M7I+dhrtZiKnTXpw0Zi5WCo6W9Q2GknGVVdNNNT2d/B5948srlc93NNWdJH
zE2EctuGPFxhkB2Zm3b6xdHzjbRAQ4/Kdhg5lY10Obu6o61c21YvNCiu01DrlZfIn6YtrPuFTacM
tLhyCG1VPSrWcgBrnnEX4RRsranTUtD9yLg3UilYPBK+9LT/p9M8QASyph2WvtdqGp+i5X4N2ZdF
DSe12NbTuJD/MfttvrtJes7gblH3q9AKnJw7sX9W/ZSQPDbGUzqF5mqGhWMjgeK4LSVnQdLs4/el
PoUl7oPiaVkT7aFc0eNNm1mbtrXzR6tM2WiaSbyv9TbdNHrETlNNaZzvVHRGzfrHUGbeTu/VGSkC
9KlFu1psrdfP61EZmydx/Eebusylw4/W1FuMTEnrZlh306htpPB4I4i+li0/1DFD1It2/jD8IlXL
q/vKHf3P82t50zSQpLtyTndFZ+/6ovvFjTaQX64sfUwvw9T34TZRaPV08n8Mk6XLOB/I0KV9u5fR
e2i73MfkZvZulxVlJHaJeI8Xu7kIJL3HyyUl1PtuVxAwlQtrtRyK0re3TV/Pq5tNzhb+zIteeNDY
SozlwktIv/7bvNYdaAqSyCGpkNIaEmdbVMnHmNuKLcRre6pRP9FLsI9VZd1f/x4yhPWKtmj+ALd/
EVW2a5iY3Nzhfv4+9ToUzycbGd/f/KCuVpo+qNum5c4m7AJlY/wEUN8/BECLwbBqK+EgaIIqO5sm
PKESJZOcoId9YaEy/+ektkkub6USLdJQ+jZz2t3KZEJDCnnmVVLa40XGAfI4u36ilCg2ZYn5GEjX
9Za7lXOdLW5ywhqVRfJvYK8NiIfiP0wqbwcln4xHOcxt72ycoQm2N1tNex0lRDVYZblqsi1Gqn1Y
RMLkQLYavtWanHc++jA4LlJhoZ0YiFF/l4AP5q7XdtDZZmux3dYgJwfuqXGc6xrisHPNu+gBr5rL
pbr364ECSnfzbA6fHbxz/E7ptT/cFq88fgal2fHl8/Q7GJSghNFicm0W+kyGXtBn7ZgPTY4KPeKQ
9dMSICYJkEPsfDRJ6DIRsLJ1nfj3tW7L/32tqWi/eVGsHV09XDm21TzLIdYKFO81v3vTtWkLSJH0
2TMPnZq2z32feY99Fi45KrRkhgB9VV8l+jomcUUtPtfeoh3acR4LtjKfo2/Xkxnqsr7YJnP0HkfW
l1FXaq9RFr6OSeQ8jQOve1VihAcZSuuONzsnutCai/TwZLEXPMXaSQYSFMJMTy+j+SVa+n7ETrS/
T3pQU7VFM9i6QzpvozX8cmSGxNCB/Hap21LLpRySuMhu82G0tgif/Jo+v2UNlc6r88BlMm+pbKl+
vgvUEJAFOP3HMOvv6zmdTmKSQwmr0x49bB0yR8LIPMIlHxOnWoAHEsWpjtVoxg5Kwshu38lWIpFH
nJzKAQ5Hf9NqmraSbYrYZFsiZzfbbcYnmyxgUvVbqW7RbUMaQIEMGcOVEexKGkazqHOo1fR0pROj
3fWNMKyY6q1l6VBk9ogL7hT6J3f1UiCdkzLb0WaQ7KqlmnrzToH++6iBoKGkF63pU3K2n2DyMhRv
Scnx6r3B5AVOT5U2vM795LgutXiTmW8y2oZkt+giQtPo61zC1OVrMPq7vWZ99Tv9O4JM+YM4u1Zf
QZKnf6my2nue9HAv5jBDiM8Y6MMd9cj+OhZqc8jVMtmI1woaZRt4MXW05QI+2sfXC1yXHJ1PF6CY
+OECkdu4O6hMQb3S5tKerTBZMyTtIsPMAtA3afo6TfojBJ7uufOnaNNYUfSjopFj1uE/RQjO3A16
YUNqUSS/jEr9JAEAKB3ILgLj4TYTecDwR6WxCfZ881s6Z9YOcRe+Vhas9emYwQ+zYFb6BexyO4gt
R3gFett8f7N7UT3sKoCS5LkQB/s0VYaKgCmXufTpohf1vvD0HEd8mawuqMtVt+hTyMEuOhJVclrH
QLDa5XBzi22ag3AzDySCxPF5ies6ZU2hmCz0xtBr+3w7DF3fHPsS6NK7PQCNdDZGiPY2f53SctjP
zYeYoo3GfdJ6P/pgLO7hStYvtbKTAdTQyDzbvI5f7VW2F7tY5Kxd5gxJo194t7mZAwQl4bSjyPq3
RT+sd7P/bdEAQaw+byLXWet0Ti17CtmAWL5r78cx+S6m2+HT/oNG4W+IfoGnXWaCL9N3UTySLV6G
t1hnWa0Ko+/XHZB4r/uZvho2AJrcU2xkFSmdvH5pUhr4VGWmGSWrHHiEK+fLZNOZDmHNn0jYub9o
3D/J4Wn+eY7r+qQbACHRLzJe+JsPq1Bp1Z9K+yA6X8scq9Lf5via4p+bIEKaOymmrTZM6ykr2BWT
0f7ecn9e9ZC4PNRND52HGrD7CrP5e+PA/QBf5LROG7gcnWEqNlRU4gegx+PBdidlrztN8eRqXsXO
hz4sw4NueSEPm6Lhcewb/dunSVpbK7CtmsVTW8N74E66czAHb8pQneAFkv6g2tklVm58TerxPp3c
9PfESOik5O3tGX7Nmh5TIkJFNb7WQ38v+bN/i3hf4z9G0MTmrnO6gDdul/wCL0X2KECHbqtS3fpq
TU1NA1j4RQAVRajaxxGOrSvMISsNoJ6oYeyMEfaqDr7dfWnk/booTNS2FyREnEfXRWV+u5FFJ9CS
sqhgKGjsdK6LdtrUbWNES4AW85qiOsNjoFb5GW0DdiCIk12HIlIvvLEaJnInMKwsrztiX0x1rOZn
WeJ9HTEh6Ll2YkXjzwx9vw3okcYrSD6C82zryUOzCOl1YZj/3oUgplrP+z7Nqr9J2WhdI6xW7Vch
IB0PpN3ObmIaqN7zqdABNA9FmWo4kJGbJH96M1rwYCNzqbB1kdkUbaqVDufD8kAO7E0xzqTXpix7
yEq4REXXvKviEUDVPx21rbCXWBwBGbXrjKT3+BYvjiAuzbNuwEN8GUlVZUWjNi9v+Z3BcLLdSIFa
9O42fj+pv7XJK0qh2e9k+tR15E3zvQa+6UwDOxRhbwF5H23rVAHPp8Tufmq7naW2zsmefMvZkC5J
djlEiqCM0JgXd6Tozini3wP9EHqVKa13h1SniV3+ZcCstwbo/9duhOnjZocbZ2umSfj6L/H2Ytcj
rwDZ2MBFVkDvkSY1v9IlJylj1Q3qFWVjC0E7chdeqY0r085aJGMr47Wh8lK3JCFJDtyHdVeuhGUT
nhUorRT4DmVo2uZ/n1RpJuC8fLqQpCqgv10OCjyVwAvRz2jnv2yLI0amDEWYAdiTam8n2I1Lza3O
cTNNT+FyyEdr25QF7O7LSA4A/s2o4aVzsXhZpz501IplBKUjfBwg+5BEDk43UzzW2Wno1V/FJAe7
84qDq+rtdWYT1eEhr60/kOjpTnB/ImPUjUmPOGjRrSFCt6gxDSX59sUoHomUs2u4jM0g+yNPVRW8
TDKe2TJp22ruh5VgLbWB7hvey/HIWGLkTA6wpMFbkJxvZuh7425Vdt3bhLpBYrua1YdEd5AyUlrP
4Z6s6PzlutrfTlXgbuLEmL40fUge1fKedBUsVziWsIfamnIS5zyoKg2VCK2L14X+6Q7Ran8tXpdH
zcWenN/oLJ6+WHBBvyAHUNR13a2LWnmoBrjFJLKw6M6uplw9yDp6zU+nsYZpK1696YajRr8rbJh8
InAc8WOsl0dZViJAQkLYp1TPMopyiCjZclZnWY2cVQeJfTVBo2WjN2qih2dpPduwOdR/8WlmpeAR
QROFEundwBf5YECje6Erm1tzHZRfKsgxVuqAMlvBH80n4RMgF9Rs1CAe77ogB3Cx5FTZTmvrKAor
WPEYZnoRGivQDMmFhxJ8LaVJs41iOpu4jbV16md/CwwdRAD8KtupeYUK8FKCU5YSnL+U5lJyQF4/
tvdiEqfdQGCjeuawkwhx2B1ETjJfbLdFNKsDo5t192JXG2VAkgbNLPr1tXPdVfldGfpP/qyYUH8J
pVWQ6RBZaXCkzn78e8azHHKVxRM2HqdowSQ7G+3glRjhbiZcTq+hUFfm266jLIU89cbzXsOinR5u
KYBJMWkL8CPlThIH4ogac0QIu6k33GCNR3GkekPNu9BeIchIj05R5Nz4PH1vZp13X7boGmRWhKCC
P89rtXbi13Zwi5UzZ/5vlVvdDwMJ+dU4fy/Z8PFXLVo6SPrqj8TMvlpDkn/vFP5r6V+efmE/kG3C
PG2eur4gIWBa2sUNx/luCpzuWKnegCqv/o8rF6P58crWcmUlLO/LqSDPUqTfKdp/vHLfJV/jMlPX
cW72D3OU7yAxg417NpW9WUzKb8bA99zrEh0y7NrdQvHvnen574/U0bW9McTqYwKh2dppqvKb1XSv
C2ib+X9CbUSlc05+UzRFfQ16J9no/Ogfg9RX9vRvx8coiZvL2Mbz1vLm4osT+hBGh6b2AyGNt4+h
8TEUPwh+dAZJwE8fY5q9f3yMyHSLv32Mmhebi8F78rob+T1XA/IVFCGyL1DBFk9Gy21lGZmeygEs
X+5M+b2YeNtqNl5jdHsZyvRwBqskw9YYr9Pp63aa9TKVxgB6zCE6dmYz2vRGaCEQr2VPbLUAJrTW
C3oC1ksfLEkYRJBOYquDYEH9LlxXkBy/gDDKnmz/bTqSYNQTI4tsgtmp56413w7NcpYAf7eVHnTp
MrKjfia3khokThcP5Dyo9mjqQYWlciO6DqZGdoESyHyGDRZNPfV3MaMuilTMEiU6NRKVz9N0Liv1
ifcWfx2VJXyY02DW535hUJGD3vY978eQQUfQPx5uDqQRiFbfo6ex3hatf4dcZ7c2yJ8dpHiXJnBf
wTDhQoYKzlq8cF57Byn8ZfqMHK8Lvazt+9srcGAewnDl+4O7LyKtNjai964tRjQV3L0Iu4tYvJyJ
V4fFbdUu3qoFO9MNLarrkIQ9zKHxRReW2mU02eoXobAV3zK6+ZZI9T3y7/MQGL5GlkZt0EgGLMwf
rGmbtHAoySvg9W1QjGNUohOyvCxKqVwO12izNejypTR/O3iTMm2nkrffIbTvYlMxAClE03eAXZsy
9ZLXKapLWv2wCzdtEnkwWVTp1e5OC8OY60/fF/stXtPNP3h9G7iHkXsZF8Z2ObSJTrfI0EWk27Dd
vMESlzntDNhBdot5moX3gcaDq20HOi0mZ/zmeX6wGY1MP0p1xyke53lqXj9FDU681BaPKTv4J4X/
tM6wKVy4kWNu3DykwLkIsw5GMz5VE/+lUtbodfZsUl4bDcV5Sk3VeIFlZ6vwvEEzxerOSsp+TZRq
9FTjdU4PaSJadGyQfcmBpofNSbxtah0naCuegyA0ZQ0x90iLnsOMNWRJgzwYeKQkW2VhkaBg1YUv
5VRV0O8AVKqMKHwpIO6HrMVdzyPss+vK6NE09H1nV5n2mzdhWy1TxfRv85cIcTo02G0tNGnoHaid
tlz+Kc2VwNwpzOrMP6W5cparVlifxTsvlXHxUh0nOITf/OaVX5MMQ0f/OPffguW3xl0tOQ+nPHLG
dW57yhclmP5xNo36m214P/sUp8RouY9NPe6bPDFO4ehCurN8acFBPE/lOL1YfWucym5KUTXky1lD
922we/lgly+z/1f8EMMFOvfFYKvb0nZIEEFicpqbUD9NemtvkIQ3VmK7Of5tSC5Br1Yy7+Y28tne
tCEK2Z8c2rJ+yhN307oGEl+KFj7IISvSL/SvOiAe/zLJGbxu3hpO+XRbiF6mGMu4gTbFdqFA+3t0
FAJ2T+0fN7MxBdHtCplTvF3BscBuLaxx3loPwnQrM27BtpK9BEN2UBRYNuleildVNsa7FpVPtORc
/dDOanWvLpVeJcy8k9oBMVgqvTxpm+eGnBMyCxW6rUuEOLLGPGj0kF0n0V7cbRrEzSZt9u+RI21X
SuqVv7Yl5UhLz8JT5vflK3pkV3s9oVKEIJG5rZK6+rXkXVXTiuLZyH3YirIJpPFi75fpdEAFt+kV
kqsvgd19ReSi2KC9l7wMKukWORPbsNimxSZn/2/ilIL0Qq7CNT2Oobb2jBm6/eWOZu3nfmq/mXo4
nSYVzLJYkzTT1uPAHaUMDfQrtt0MCbaHCI8CQd6ubmJtL0IXs2PcW1qhPifZmDxGjf5TzBLlRq66
z01z+rZEqZ6zNzLwMIVivvCumZ80i5sA9XjrRWxFGG5GmhyfDMuwXmKEmjcOqOu9RMgEcyLduQjA
vohtmdDbsLde8wCuHkSA+JItrN3hK3Dp+uD3tb4Nl9SXg91qrY/2gm3R9yX+3+zDnKI+W/mrcAy7
+yQf3F2i98W2yMPsF2gMjTt0Kb116LfZL0NY07TsBM5K8RjGs09SooQeU4I1Az6fPhvuxZmU8fyc
QEIW8Oo0oLO1yYJC/6J3Q/Q0OO1w1ye2q5KGs9tjycMyXQ1a4B9MY69ZTdP/FIdSQHd1yvSxPV7D
ke1DbwYRKtBTFSwscznem1HRvbYbezSHV1VpWgSnxnQlw6DsFoZJBRnYxYsqaYm4Aq0sMsxGFMwC
a3ihMu09uZ19ETN/XRiKAkDuZVKzpIsKWoYQzJ14HW367ptTu0tS9ne3xy3ZkXRaRWRI0AL48BiW
p+3t4euP26Wp90OA+EJRYME5I/NyfVbLRJ0cdAQZ0tmE3Z09pDbs+qXKlnVj+xzN/q7twuBBTJ3q
oncc1j/FJ6bbpJvt75Paca5OWjf8lPj/20lRB1oMtgc+Wte45Emd8cGLA6AeZTMY1Y+pDk5KzNvm
S+63xZc88f/UlreuyqmjlcvL5AU6QeM6tP8+FO8tmIxVc7kNh4SOMy0Nqo2nHHxz6SweDXd+ZBRI
n3H/ryPDyfPVkNrVM5AQfW1lof7k6tq0Q1a6PkME1x+HBrEcz3GbB/LLxkYBMPHLXCGkMRVV/cOt
wkOjgbddFcC54SdAKDQzfqC8E36zdUdfJ5Tbrkv2ykL76ORvSw4zgKVusN6WpKX8HPDdjdpm+KYU
eg81I2cTPXgrdA6Gb3nDNeVsWGz/GlcYMzSxHoSl67HNwp1og/mkVS62A8VFBXHyVoZ1VyMUjiKn
KIWF3gwALNOdy7tdpMVsEhg8jJOYd8GLmyMbvOLE9Hn+rJDquJ58dP2XGBXAz7GfI2MXdEa3CWfH
P0SeN31zkLPuhqL82mhFfElhiF6N6Hp8k7AIpccDHMHobJrOqtR77y5OdH8f0qy4oTHZ3EZDyf91
mc7dxihSdD9kPLVmB62IaW7H/8PalS1JqivJL8KMXfCa+56VtXbVC9Yr+46Q4OvHFVQXdfr0nWtj
Ni8yFAqJrO5MkCI83CEqBF1Qd1xbOtsCy/QjcIZwT7z1AF11V7r6sM8mso+OMfkTxT2ZHAUYkbDj
rRruyU4mGvyv9j/Wx3f80+f55/r0OX1CdHysLUxn46OqbWNoro0v5O+mB5HtYPIrL1LwvtfCQ+qi
SL41FgvSNbDtiP80HCQjasLkY40JhF4SBlWYBE/pfy81Wz6Wm6YnoPR1ZQ6FcKWGYJeO+ha11dI3
vGxDNtJO4GA+vYhMX1i9CV5svEotOzT2SI3qE25MeJm9cFqPnxlY5p/i2np/ASfVu9sEI1Nuflfy
M1hD3Kf0t9vYyX+t9k83ml4GIf6LXXz7rREHYygwXbvKgSa9VbNb3Mb2DWhPgfphfNFL/ZR1YLYg
z9a2up3rWh64Ek0cSpR/M8agOowacN2Sz6A57qJpgaYzkWOZfNQdwL7sfLqDvprcMxGMJ9BG3JE3
LSt9PLesKTmkt/IgGVArdqDluww6mM96hZREwILwTF1Q/W2bvIsfNCjSPeSDtRpUjWuaWSaqntpy
Qd1xNKwdyJj1aTSTEYAwsih2NEpLRhDcOFNXLTlk4OSjJQvQ62Q87M5OGIAWRfMRrIiWJsVNVNM2
OWDikIM7USyFh9UITbw43FDXSCNxNHVoFvV1VDyGyBs92NkUSiGHpgbl8zy9bWt96TO+NjoLKoVh
4t9kjVI1U6mFVqIH7QTrADTmPdgf/u0hvO7YSLzq//AAcgphcZXy+MsaDOf3lYwt6MNjz5KbayBx
EFJxLRvtqGj3+0TbEJH+ZJvGQaoPkv26AQusU2jG1qltZCVMsJoiD1afGHWRMpm6hLAhTE0knMk0
Y2o+JhFah7w+TNQj14+JJsoRTlGIUurELK88S4+QH2QPgAazB2aazyjjas4giWWQLK+9NeLbck2D
HdP884CQVacGyVQU2aVkmQlWWsxOYydZo6S+2dB0T28NnESbb9NsNQlSGlvA++M7Mulej00ViJ+3
9Alk7/FjBD3gBY3SGiZycIVu9jcyiUpDBZFg6Y4+AtS164NjujoAIL8/EUh/oPql3ZOl03OoPo3f
giTu9xSAa0GQux1rXk0BPBFb3QUv2hsN0pcM2ViIvifRjb5gUdqh7OOf09u8qlaRa4K+uUi9fYz3
ALC73r7z6/zRMZPiMcc+yZKpvIa1he+4Y9pLx4zaHQ0CIT3uLBAlLGnCx3Q8r3KQuA5s7bllcrGs
BwJNmHgJrQDpHcG+A777tEZSuREy/gYa3K8uh74PiEb8fR5BjZFlmfGGiTROE4dK81ZOAtBMsdL0
xNw7CoJvaPWwQ1rcUNCL9oa8sLMIqibbeGAtEJBB+sLT2ALbaYYMRqaUpJSUi7IDWWt+sv/THznD
s+k3Ed+jdFkCwpoCqaAif3/EACsWV0srRkJjHvgULGwoEsgEWDWLGM/wvi/BpSGCG1S8gptrIMuC
7bG/7SFjewNHAGL+Lkq/hOefyMMMEuNO8q/j4DjJMvMjV9GH/wyYcJOlo9iBG7Uk+dIatKRTN9Ds
U3eoexPBWw717qBH0Zs62eG55ELGL+z21G1MfRWBFfYpxskD25Z/u9GronegoO3n3V/darUaAZk/
3NQ5ZlqN7HRTjdvtfFNajfdgVO5TAeAEhMm23ZimR+iCZcfc0OztABTCNRIlYOyl4T3wAKHr2nTK
VzOOXuNIVD/rBHp3KZPRwpKAQDdR+ZP79eugRcVrXhcJpHFS9jCY+DFXWpRdIVDxfpfakJ/v4tpx
skYerAH98Vtt6e+sMVCaFkdgtogj5pMZ2pATrczfbDRJUXB4oQGJDd9bZ4i9PUAkpjw4SNlAmMex
H8gWtl86Yff3wsDrwHcgO9yM4MKa/SF9BUhjq2OX2hjNbWpe+m6EaGlp3zmDdA+W2qy6wG5sjHRI
kMbGjhXJdgm06z+Nk3g8GS3lmaztg2w970eZ6icdLCfzBXONyeL/vviHT5n4w3Pc1W+0R6bdMm2U
hx5i822g78kufO8aWR6wD9n4ykPIDszhXQoDK7ttQuzcdsMNVR4M4rkKoVQBqQhjFSPPCMm5ZLxY
QasvycHxn9OutpdRgWL1pg2zZTvq4WaMHfuiAXE7NYZvRie/tdd9HiC8RQPkIiC3tCzwI9uQrUf9
30p34hDCdLy99gJ0IZ2Tyk1ZtPj3q0sNAch2OGDTOHwBey6DRKWjHbjqmuam9iV7qUBec3Q8qPdF
SjvayEe25C0o/EemFWDCqn5Wg6W9qQsvrd4vDPDjpi0EQRwD2cXCyIzn2uu6VcRb+yoMaAukTZwf
kDAAo0Mw+uvKhCpCYgTFMqtAvhMqebpCXXEPaG8AedDXDST9Eqkb6//sQ47UJAnYTiLlPS9GV1H+
tSg6H8ct60RHzr6MxjtTG08kQ5Ym5nCnxuiESWONiW+LOpx+jP1v88CHApZ7ab81kGVYgPgoeois
wNsMHjA2AjSGZzPx4zWvW+O51PjXvJRQM4/Bg4dd3XfQPVsLqSZp5u9JAN/KMwp6EjBravrzKOU0
CbKq06SmREALcBMt6NNjXDvaMhtFskTMKT2GgQRJO410QTK8X9LQmOoIoDj5eLAkEmiFKqssNRSC
xwaE16EFFp/8AAwaWt4295qdVMuyaqO3IRdX5qDWa9GLr33rdT9RMvUr8hzvmWUWeJg9aV9TpqfQ
fWqjA/5lq3M6WOa6tT32YCbtSxyE21Hlj6gR5eADWxOhbpz6mYV0cerIg0EZqE8+H8ORFw0H6nU6
FOe7wR+3BAkqJXTK+wYRvQkhpOBDoGT5u611wUBBotTkTH7yYy6hjmg98vuP6zkN9uhe2p3Av4Hy
FJ1pqznC0tv6I1jSgblRQZrCBiiwdFxQlSl0tGpoUgBtp/VsGxP/YmhvNY7dh9jzK5ySdU3i3zBc
TV0pcvc6iDxB5W7sI1wA4qRYNTQAJrtgYTlFtP3kjd3yqhmy/jw7O0wRe6fVwyc3CLnHa+nkDbjA
X0AQ45/bsnKsRYd4wN63gpfKNIPL0OLcsgL8fuNaYCCbXFBzNS6SONDwdBnyFfBEEDWYn0/SzCqQ
Wa/pwdSR3R64fSmyLl8J5UwjQYYM3EJvARBM2sn5j4cfrZ6blgGyRZSlK7ZDV9EjhmaBuky61In4
cB4iozASG6g+YDPUFNLA++QX9UYZrcjRiQ2UB1kVs/amLSbbtII1VLsGMm12tMirHHIThmHfxelY
75y4y/aF5QzXEUKQ0IhL6lcJuUemhdpPT9Q7tzTZW8dyuaRJuZvUO5EZYB7x+XC1sOQ0KdfdMz0R
7KLbIUbkTpMC4Nru/GRYm1DoW+SqUsFVlQrUVLJeImjlny1bGMDVqKM9uDYi0F+h9ACEjO9+ODWB
uaStauDNEfJZfEzWy1hsoY8GeWOkc67ADMtrnor6bLpQqG/N3IX4DihQ9LgZDqWv36jnKhNdgbck
23FXlSeoqbQIDRRamG70CvA7FjTF+yp+lnUrkyOSGhteEK8LGwdNmZogJJxvhdwSPg0QNDtaTQ7J
LkiS9tKCVGHteSJe0y+qVD8rPS4eoORmnqjXBH53LmoO3j+MUePXuli7QFysk9J/t6Fy9RaUmjf9
FlFVW5yr0bqSP/0UQR7frsNI1Ot5IRG0dxZki8+0DoLDoN8YWIIgEyhVKsV/ZaTxr1Yk7M7pId7d
BmCtJ3vrOmxpNIZ5bMJCPplJtO0Gz3jNhAEl66IZtuSWIoWeGTjYN2NvHv7TsqOpVQtXgIaLls0D
URwsggU2Grd2qBoM1rkzdhtiIaNugtj6p26kukRZpjd1sJ5HA4GghF78CvFaeOqhKXRoU/yV1LUj
RMtL10MhghpNHMURGVXAJaqungB72CqafuoiZRCf06pLp244CP0cVtrPaSVkPC5JWHylXtg6zqXv
9Gc2juNTV7TdVYOOGI1FhhXdNZl/oTEJ5OJdM1jgDMAdwahR37DB2gUgWHmKtVEDpmjY0Fjem8a9
C8JAmscd3jwMXbyksWoM40c3/1Xhm7cVCbDuPCj6B5EXKWi5sv7oKnInwIatXWLaFbR0wBc1uaCa
prYc50a9pMhMYABjY0Pd3gCGu0j9C/VoUoEN+gIBgv5IXVqSefzG0uRxULQnWd+k95qK2hZVZG+x
weghdxNVe4na/Qu5ICkTXaBBsZ8ndHmrb1EIAASFWoQansfttEiY1/3eAnR5AYYJH6nsyl0ktQ80
c2Xb2sLUnAgiW62/svkY3FVZGdyhWjLbxZA3WujkU5sosysqfqFRash5OBR+6N5NTmmDh0uD78C0
buqDKUl30nA3T5rvVajbGAkobP20cFYouAKGxA918+jgH+djL5CLGGht6n96+8t4yNacIQhedfo2
4Vm/c1Et9BBGzo8oGfPvhe4jc8DKpxx0aX9zSBv25A9lNTngxdvvqgGHLrVChsPSPQOPzCJ2oWlf
GGF1ZplmvZjtZgzy+KWqZX2RcQictjLzQkTbFMDxDZJR1ss86b2L3XqCSNY4lsfpzShNH7+ROCpR
3gd5pE8NDwB4i/oBKr8YaNS7la4g884uOPDElvRXZPFNE/uctCy3QVZADc+xfci6Zu3aac3kqc2x
FYy7sPtRIlalmbb9q0Uaq2JD8up0CGpkwGfjpM1xPMT2+2BUDYrt1PQAYjfT9NHTmyekPPp1kmG3
3ygshKvwEW1j43XJ+IV6TAebwtil7dIYDOA71Cj3xPtoGKJcvnZKIKbU1I/5vieLje6DwTQGhTVi
ASiE71WNSmaBVgU/kAfk7T1wReEs0DNTf+PikcYDcLutTMsfjzQxUxM7Km4Z5WOdxcOBqbKKuvOK
i6OuqBu6AX6nQX8yRmhtg4UD/Ix1KU7kRh6jFpbbjoMsdg/wEV96Tl4j4zloU21AkCXlIjZ0cWf0
XnUB9kUDmhWpU1dUJb6flRIn/T3DClP/BkJAcJhn9nfWeu2RXk68if0LZNC2XYQ3/bIxw34DJr1m
NW/11ARXZN2RTAI0fRvdswCSRni0TVz5FmTVHsQ72k/DMU4QLh1fWzALLBnq/a/gzdJ2Dtf7HcpL
gdpUk5iDusVEr/ejjMrrGNjFIh2K6JypqtQ0BjxaQBJo6n3YndYp2lUu8kNhgUtxJpkBLBS6Phpn
YFfViwMNZPh6rcvMRo7fDKDkyvXhXIMh7YX/qoTBX0JThuDIBSuaX/vWSwv+r01iCLkhJ7C2vs8x
3dp+Mb7bYbYTdRHfeG1FD2ZuARif6aCvapL4IWvL5oQnzisNjlFUnUFRfS6km52sIc1WUMaFwKLq
+hxvwAVdUhNoCR5hamSQKUYYhDuVUI+7JmPvfAMkLrvZA6svGfCji6739S9RI7VVWZvFnropMhZQ
xxRPqaGOYMDZLiIww3wJkloCW6F7exZ5yRFVp+4S26EFT9v2eczD6Kxrgw8CXcAAICTbrbTSCw+l
6iq3VrnpYR2dEa+EJlrYIBkGFNYKVDbRgbofboZaDWAxcKMRqGBsvqGyAwxbVfnVdxFTVxHzRG8E
kFbcu0i/KE+oiHNXHx5ISaAEIBFi6SqPoAOlPHlAk6j8Gtbva5CHBsU5cBGBIxkPJP2+QzJtPdao
AZFlbdyjlN64z1p/0yBKeSWPPE4sIA58uUB0Cjy7LHHHBZ42w56cbQuF2e3QAHOFqTSjUWsiHNms
7VKM+bJytY3snVcTmlr7FHRMi04xwzhjUB2pC5Ea68nh7Xs3lEO8iVGqvJJ16+6qAoJhdFZ38Vfv
2lLEKzrI0yh16bQ+O9udCI4I6iQLymp1dgeq4KToN3HjaQAp5/zQ2pZ31IHamrJjaQBKLokMK00g
O6XOmkHG2wEYoGmlecKfayJSBFXCVRph22NmALpFeZ/e+SneaHJktzooYAKG4ChN72029YkLSQQ7
F8uwy3iyZFHerhKtSzdTvwpHxVkeW/upbwR4+dZlcaElytxN7wbJcT5Uk4G3m9bPUGILkjp5yOJj
Hor0hN3OezN6CcA+f/ajsuqPeXMkO83oAt8CjapOVDPWhSmw+dgHEAxmqKW0As1ckM1RA/jvL5cF
QFHrmQaErhBGRxoVSLsozh9GZ3AeZQuYzBBfeas5j2SxtHEP+gh+1ypTb+n1Iqk4O5JHgYzEqmmh
hNZojYsdFUol2xocUjQ1gpTsAcVY/oK6KIk1Lv/lTsyq+V0MiEuDLLzPMweV0mOdHzvVxNJCnw9R
DszQmB/pioZLm0uQE1sSvI0fc0Jyp3HyrMYKfD5/XtK41vT1GlJa8dbOwnRFuuH7XFWHVfierMxG
F2cOAP7ZybJ0lemmdZRu+bMNUn4yBH9vwsTmJ7K5Hvj1HDs70uCoPDjYGhBH+3ChEYkKOlA6g1ct
125zmmrsWXTUh/q1/agst5FmIBOlqajROlBUKi/qkStNHKNumjhltH6vNS//z7XI/nHHeS3z9x1p
ZbMorCNqsfH4xMOoTlF5Swhe76OL4475lHR4rMyj2E587tIoEuJRZjZn29HEWZptsMer7dCZCRA7
ZJsuPQBU9olhHMhGTeFWqGdWDcoMQFL6EnU4QYC3q2XDkwb4vZdoL1VXl98Ky3vx8EX4Biro6QJ4
0uniH0N6INkzpDIOarhQM//LEv/vPpAAQ5UX+LvXDnecUy1de0FED3mURZsGOrUTO4TFoOxSVbpz
6fAnP5veYzya1svfJgWe2UzsEP+eJJPKegktOz6JAsWXPNfkHTVdzDJoZS5ny4hA3J0bqw15GinR
V12xWRaVsTVinFFdYQyfpmZ8qQV1GUxL9ga4OnSpghLqDiqmd1cHkbFNAxDBks1GhnLRdKwANWhR
rXvU1O8D1mbPgzZui9oEqFXZdSv1Z7sIy3c7A2Pbvga+7tkpcYb8sM/+/7SXNerXKHs1Jb5U9gqU
l9BkHqZkWQ3a2hP3m8c5f5b1Zr3tHU8u5/yZQAoTUdjY28xJMW6Hr1loyyOZJnu0LANUlFHObdSC
9BRZ1eN8a44Hzrauo2E5L9ME/eelaWAwsmlpWkgHlfMdd83laKBCsHVHBAYzQFIuWeW6S61pc9QB
yOAyjeAJNexR1/KUKxv5NWYABUUgSLa0wjSXFvhYRYDdBwVNatGPBtvTaaXZNK9Zx+kW7xt2pEHg
wO4TJ+OnHmX8K5kz7LjVRmbaeeDFVw02UrPK5IFneldmA6i6VJe2K04RItcmgvRINtcDwQFA4Vca
nNzUui5S4ZvZVpi/5mW1wfu8LE3yNQSzEtGmOEdhG0TL9mC0pkFquo9lgxZHhaHCrkp2mrOvOuzs
aD/jhcBBUJf2M9R1vV6gEAmpiblLo6hlw+8lPXkhTj09Koi3gRy/+h2ORCHT+xMIxbHHoz5TRrqi
Jg4KSMSmzZamBmBZx2tDTaH+vEJQguDf6pv7P+zTyp9uMmR+vGBeITYIcfR7ycIH0+71NwYhVj9w
4u85T/plIxPvAsHf7gQaD5QTDqX/1ajP5OBAlXhZMnDK17KqzgV0RFY04G4taEx9g7JzvXJrEZ/9
KMwv0QjsAVJb8XfXfOwrY/xqoSh9BR3bQm2bgy1SxIg9tBDuxDt3eMt1u13EqRXeFYVrX2gARwDU
VqgBDSV200ClgX85MFFHIesDMyJQKzoKAiVbcU820TlA2Q39cF8jMrixQk1cgywyr0aj31q1qU2Q
SqKe6LRoo4ExH4rAEHkMGTMPiKrsqahlLnShLtSdnQPIz6dB8ic7NQNSSwcndnd/2tWyYIfWDqXR
7T75KzvdIB216IiCnGnwj+mo3kX+WBfTx5vrbcgNkMjiOFbZdl7WBKb+nHhiWWutPLsuEjoSmPxr
H+B1jUKz+L5NfcB+Syg2yMYvloZtVC+sbVDGJ5rszfOAAhCi+O6nIE8qXP6L28UqTXMG/dB7JIMS
nFKydln5VvALqTPAuLP0m4x/oEavfrI5H9YRHo2nWi/Ko4Hs6mb0bGwqQT6wCHOv+26Z4VIbs/wX
OLifuTPYL74mEdxH5P3iarq+L22U7jOcyW5J4fVL0enG22D3e+Ea2S+djQc++PUbQJsQ6AL7IePt
IhL9+KCbRbIN7Do91KxNr7YXhSvD78UbkPTboUqzn/oQfeFZMjz3Qg44fRrFyTe4fcIvu1yznpUv
jCMcqFytbtzHzIuOdRM7yypMOCiwnfYYe8b40LXGA3g6nDdoNEPNKbC7E/TDqnvQtH0jO/4YRGX6
WpwL0NbdmjYCkDr2VpqP4joQYIYXLS/ic21EOOxbVv+tcdZuEhffAa6BTJZyMFt32KKGMlonZlrc
ofiluCsDFHgh4FAhXu/kdwa017xFleMTj9mVTKjh0pCZFr4VLaRW7kKtSzZCgT7wX63dTC+LFwgb
i4Ol3nvTQIBqgTEo76gXuUF5zs3oPE/KSrz1hygGiefHQgUSxiv8mJKNRhARbKjfFyYfFhntIvea
70T2Nio+zirlw7HLF4WjKN8m4repJR9qPvUrGY7HFlhXbngHSNgsHBcsHmVmXSbMwghpDAQHkg1h
HMLCbM8o0HimQTK5kXE2rf7dvwXCHWmy0DlqjecsiY7CLpsvZWwb9yaCZqe/2Pu6+GxPzO6Lk7Xv
/jUAQEtir8D35osfJOa9DFFNNUWyiqBv3/ldkQQ5MRfcoIRJoFK1HPwLXdOBeyKw7/APUz71kGTa
dSjh3nSDZXwZ8eANOYu+4RUG+pQ21U4Dd8YrVKo9EGWgIFnNRE63fJJqZlsiMBS61TSTHJwARWA0
0wKi4soTiI6z3zPpnjoDRJFmOpGnf2kBPiIH7PRQexGu87Cx74EQTzb4z/BPIo3BNwzx6p3VWhXy
ApEFtXCuQ4/aAr2qZabfIV20GSo2hqhJjNbg6DK+JzYqC4GYTZ6dURcr3xTmtRShtu3Hvju4dTec
kGeH+Dgr6/saj3mU5/XFK7YRj0EKcO8iuh95A8awilVKVcR+bTW9WP7ts43c+tdnCyv902eLNQ0i
u6r2i0q3Itnmy9aKusNUnKW6QM13Byr7ak3tHnUk7b4SaSoWiKyCQo7CdV7D6rUVgzFgMrpI2649
GWkLpLELnFo7tpEQM1tGMsC/OhnbMsY7OnROo1LxkqopuM42bQixc1bJrSVZcdAACTkLl8szXVHD
kxIMZYHrruaBug6+xa0eLPKGyY2VhNbeY1V07w2qpG0A1S+QJyeUeFYv5DHYlon8pvWE6h+xhB57
eJB4lFhzWv9TjH+6JKcRTpQCYEnsbISMcOwHG92A4K7DPNSgBNm6VrDi1mq7hdEBGdgDFvToOoBI
2+n4hdwCHTSnTlUhAtfjrBHHXXfplFsfopZPTf+bm8Qvf1sAiggZK8afmjzfopQbeT388jamE43b
XHVFVi0T6Ia8pEWtH1LThey4NuqvuiN/Donv3SHRLK9g00bFuvK3DN9dtpwhc6WWzXmxJf8hYe/L
logb78Ycle2g1gbD7sYDZmyJ7GK8p6MtdSs9SfbTwVeNomIj/tRFLDPeJ7WOTHSN6lKPgKth7PQL
w+idtV/4+skhtCteEr27QXnG3fsdoU5zDDvEabLR7E4oMgG9RA6i6hMEOgNzE1YoKi+ZFBsap0Zj
8dfErcytLEyOGhY0cRH257KtS5TyZw4YZDxXLsgYl+27j+VyvqzaFtlf5U0DnIUS/JdQWkgrJG+h
tc7PXAQAE0JfatmVkGgUKdD8SN3jEjuvbgPGt27hITQpF2Rs1AhdeUDK7MuaXWd7ZZig/phGubUy
KgANJXYGDl7jx5Z+aPgJRecutfGbo8vIe6isLIHCGeLm1CBHlQmEdH/3O/ALFeD1J8unmdQf09iA
ZvmS1prnQEgIoXjVmDmz1rbM3OwCerBuo4ML/FIZgXXW+ZOh4F7UkJmuxkhYSzcZinWMnQrDGSTw
TmOYL8klJdvgFw30eyJ7Pa/QxPoTTicRaPo8Xiw0qJIdfNXQVZg6XQEmBRdGnOf8NVm7sbEB31Ve
DrOhdN4OO/Ihk+2Uv2fTknOffKhblrljL+cR12DlynAhKNkIJIxEEb83CaKRDerl0c+kV4NwKPw5
2TIaIXenYeWmz7VfFIH8FKRM4xgqPxHI0zug2U84O36OZv4R3KTJnhM+abH2DBS0dTY18AMKKxqg
FD8k53rICnAvce2GIjRzWXeRiRhPFi7AGFn8kGG6BkixAPYjhnCNE0Q/eVJ/K0O3+9IMyNtrbqTf
Y8PjgXuy1fH/WKZ7vLR6sOA0qOZn6drFyxW/B6fAv0UihtN0qVlcOxgN9lRFWqOSSI1Q4wogswbQ
4kmcBrvYRNEe6DBeAby8QayzefDGyj+hWLBZkl3jIF8sm6i+poE13vmOxP5FTYjAFYCMUekcbdQX
P3ol5HSFXjyF5dgsJBj5TtQMQstPumpmG3W54O3SycxNOQIQLor23Lph+eQDBXvfesFSN5sIuJZV
4xbZkyO78gmRV8AbK35PjmGZXYCS8q7Ua5LmhyzqYVoEenWgVc0i/A7VmqU60OJBJPbUzUZnXAEL
ZG+p23kV0oMIcG+oO8RBi9NY460sdVNwhcZ7ZDesJY0iE68d6hL0FjTquX187jrsUGlUl2ZzRcjg
RoPYusaLyhn0Xa5p1gi25bRBQUZz6LA5QCgpT4MzvlvBma40UX0BX7bYmUbpjAuzDnoE4AcwwRs5
DoY5lJnVFTUhVAEOQYxm7v7Nb55GM8iFps3d//tS8y3/WOqPTzDf4w8/GmCt4PveeAgiiCxrUAkp
F3Q5NyD+cFalVckFhBKy4zzAYlDS12X+ewr152FPrTh36erPG2QdMpIGA8vh/75MVH98MLoLfZLJ
ON+VjG5T2+XCtY3byGOc3dSHmKdQd3KhS5pSVckLlDfrvWbF5V0HaUgHqaBToRg7qakGBygQLaiW
g2m92wRdJelGg6jReVC/AGCjebtpeIpaiY+5NKNMgJaTzDzP9lFH7faY4UlEd50HBtDrCFekl8KL
sDPnUe+u0yr2l9MdPxZGlAqF2+DwFnTvjBc4JddGspqWoskRf82YiK7TUhk3qnUUa/Xk4mv+xQIJ
0RYME/zgcp0fpiuW9e9Xf7GRi/RsluGHjXnUFB9Xs81Vy8yr0sBsq8ESukxs/OJB7+bfVz0DN1UE
JnXqBk7q33MTEtoiNa+R8qghr7aLOqdf0mBte/59iXhLXgv9PE0SHEqBKOJB5AsQ0YK3xdWzrAto
Uuof1ehcNFevfticXSKGiwIWL0jaE4szcDP5erBnjXwiQDrB0EOFRUckYLLPJvIge16PV1SZL/QB
B4LMSe5AoGffkjhhFzyQ1tSjRhvB5pxZ3Y9+CFNk+jog8iq/bpeeG4DFgOXhsclsdZ6v3dfu4ypN
jHcbXfWZ7b5G0ZAt9DJnr9NouNUN/yHlPL05jpPewHvtntpuPJIJ4hDprQMQ/xrgWQbVPBkuya3v
bxHImO7Ii5quaXepVYoz9WScpLemKF9KVoBJQ61MJtmCs8LVzHA/2/rSapZeoqdbcqGBjOcouihR
xEM2WjOqIScadna6mu8aMm5tUwkG6nm90MrMPTMk8FqGhw+clKN3tN3uRtPoTwIuooZSafVpdaMG
DW8yfYT5T0hxohRg/7rMpiJo7qTPotP8yTgL4oUBmkTUpOIfjHxbtwkWmuayT39VbQaAkZqgqyIX
avwRHCCt0RrTX0WLst6H6F6e8+V8W70rvJ1WA7c+/6V902sH3RNf5n84BEjB+8+z/fzpZOH41zJ8
pbWm/0NfVirqOlyn7ljZBzBsCFVMI/bMhEiCVubya9J2j2aWp48JJBsPTNeB0FV26NlZWtldRuzD
Af702k0HKqO9l1f2EwfRHTnprmksO1dvzrHlaCvNKfMFhwDfQy+NZ9ENxVmonlv54wZYETAn177x
0LiyufNAetV5qfFApt4AtVeYh/GRbLIPq10el/pymuCY4YM0NgHnBpg4AdHDvrpP9rQ4OHHTA6Ii
xoK6NMHHl0VzDXkjUz8ilJjJvtnS4qg2yU+JVfykQfq4WmwckcINr9PdO0sAbRa7a1rMY6m46HZ1
IX9q/CT5WqbMOFFPYnu4DZjZg04Ef9CoyfAGpMqKBslUQiJzYTeBPFA3HStrx2IE68iFPoJAZZw+
PpBBY9B48etR39EHAK2Hfgi5xFESZyoRv+ix1d9Gm/G7ahQ/AuH7XyDtPqyhCDjsQoluxLUVSLeA
0Ux8/1Q1ORT4UEH9BTyFNihx8+5Y9TGga+ZtMvdQ4ON1Db4QxGiW7yduUKjtJpzejM1Pkfo49kW1
+ATUs5IWYuKGda/hY1dh8EL561AvvvGWl48Vkmw73kLiB1Fa/1E5UGobe8BvdvumIcj5LXEAgEyF
/Su1smuXDeYrT7oBeqBmcXOtuN96tSkPQe2miFOkOlgDbfmYDlDGLSDQ+V1Nh0ap/SvGdJYjGIyv
aLAJrAxfjUxHSYKqI489DcwWRorisyySz9CoAJcz7LObUNXnmc+QRkRAbXJzUXtPbqiOeF9tUG7z
anHyPSCiA0geD6D5RnmHtsiHH/n/EPZdTZIiWZd/ZWyeF1sHHHDW9tuH0Dp1ZmW9YFkKRzla/vo9
fsnuyBLT09aG4ZIoMgLc7z3Ck0CX+tYLbIdLgBLNbFcPTfJcdvzkFab8Aj5PuiwAj760nsXOuTki
tWaP0Ze/R/YpzChoZO6GgG3bNlsZcYwEUajSZzpToZvMZ/0f6v7UL2Qmw3OzSD/k2QzXHo9QBtt9
yOrNOTZnfDCcyd1Tem1u9ZAlWztGCZrJ3zk66kyzpGW9o/ohThdqQmL3UnRFsXUhP/BiZcWsZ+Wm
wlwntqj2QCHBnDfNZz0rrKVRHzcQ0LZ841n3F4iTgaUGmIIz5tBRtoreWmvs/FK6PnSwS5n8h3K/
jNtFELXB0U9gOwKoTJJfsslBwsXsV9SAPGF+ieAhaK/iaVgBQxUcr92C0ZGbMUy95cDB5uwB1Di2
Wdc9yt5Sa6iUDZu5OEGIjbsVPpLldY9tb04QcE1P1EiH3oNgGEhdd1Si2YbEfJ+Nm/37bKFthJuu
VQ0iXsJKFqSZBfuhUy/M6kKlmqX1LvazaklFOiDIC2HOsL7w0gdgU/eoISC25NpKhOr+MMfcQw/4
eY4/XcUu4f1adNCelCMvHozEPJI2QwB30l0CrtV60D8KePRFOhbd35Qw7X7g/XRkMH9d4+HoHWUd
ymUjJn6qk9x+ZpBLn2XrWpUfoEJZrEKg5j5RtyAt+clk4VZYeQdSvfuFfjF1DeOKEjGLu4ax5tiE
nVixMIm+tNk5L23/c5dAdnVqpujAslQ96IHUXiU5PHQswIXsKHH3SYp53Npyv4UI+EjZ9F+QLe2X
HfflbSJME2auE1RG7XyCiXLy3teBI0sLO0a1MpE87aDQC+0PzlYDndnYqvaqFQgX4Gxu1We2fHOa
AS7uAjQhfYAoZhtuawB6t07DkZRt8SRqsIyAvr83bX08Z+5KD6l1rZc2/zFkM65qF0FX+lumsovv
4CynPbhuHZ85n1No7cJMsf9sTQNbtkncw0sv7HeN2xk7hkznTQ9K+BJ5uem1HIYTaWj7CuqdUd5/
ZmUKO0jwL4w+zh4VqPegbuMsrArYhuKR/GjE7XvdtZXOFGP1ulcVlIE4HpSgaGQH+siBm6Ynt6ze
5k+s/yluAbEv6pHJdgfHgvjJz4pTnhv+YwzBpwOeKPpX2I+fdX3K8LawpOQH14NUys/1ExIZi9ys
yx0ef8MZC/7hPDluD39onm8Tq4gWJRvicUEtnoymRVM6cpv3I3zNDPggCF8HtXTxWucl6bgDtq26
6/ShhrA+sheooyI1XOvy2qs3ZWB1S0K5Ed4Ne+A7j7vBnvBt13rDi6ctA3Z4kZJM69XZyrerO+TW
6rVq8fQIDdO6UYljrCN9Frrj+xnV/akVwFLI5wAruY3x7TkIpA429eQVT1WlvtmIMn6LynqDQFz/
2cyCZAX81HhphUBkz8zrjUo9d2mpyVgEIjNPghQRKFBMZQcROaxzwgNV0cHTUWQ6Q5oCXq7FBCNa
gFc3sdeCrawJdwTiojoIAMD/xnbPCOTkF18/flVrvVpTw3Yxd/BILowh2XNm4C1RJvBA7+qQw0zH
jL8F+FUIy3XeCl/GK9NxsoufMHGUU16vh1a14HqDLw43z2+8zn6Medc8Chk12yDIs32YOXBK05NR
j8mG43pUO28I7cerwJvUymNi3EFCkDDqdPCVKteB51hrKvYg79277x247WzdLANcfGweJhWA2p9E
2R45DRAM4fBwB2eQ97rSOxtBvFfSXf/JsyKw8arVjZNOxXtKshUgi73xgOga7kIfhcWKuP8JUlc7
5HotvMLg8gQhxepOIhgz11GRGoBub3b20vAggNDxznoCDbw7cKvQ2tQC4cMK1hDXogsBRdxX+xzb
IRDSwvWXiVYYh1Xrs1tX4YPnNOmpG5NgSYre7l/1bW6np9zW9kyIwK+h5ZvClLBY4GdrfoHeRgvM
v5Xeeq07QusFf4jUiboHJioIDulH7Sjf+3YSisa21cp7aUK8ug2QyMLecPrMGZx5hnZ8gV3Mez0B
MaCROddT/0nFwTo0JnAMmibZ8T6SGyQ5kNcTE56LyJVD3QakkCRNd2aSNZ+oh2wivo1hzrfAYitb
ztLzjcGG7R/LJDyPfBlYMo7wd5YLaTjp1nA/o1vaVh+L1IqIf7+n+19G/W+tv4y9du70VKUw2u0U
Tod+RNIVVujlcUAEYKMq035QgITB5lhN3/Lgphj64Ls9lT9sR4inNjWxswyH4AQUeDWPabPCWKsR
TCX6vbGRV9vYkDliT3oN1OoFT68PqT/ZS8berpzpK6+6gJjEPith7sPBvO7drIZB8di+M7Gv/eDJ
gLV5lz1xVjN8T/sK2jSZvUkdgIujpCzOIMGrNWBP5XPlmV+J2mi4X/HYSr5dx7BokisjcF5bF39M
Yq0BYVxurkW/HsoN7JHlJvXC8OSMoF45wwuh3/O8gzWdDMaL4KI/WS02MlEZmG91Mnewhwc2mAtk
C0ogRPCTyLHCRFiYFyeyocl00dFFarU7cDupFXtF64la/zQ2cSUyF5mCgKqhLlgmYF0JA1qrHMSx
bBmWmrq+r1wIBozNa9mK3P7RJp64hx/tCgq3YXYnQ01gaKMTlLod/lWBQ7yCrAa/MQq4/o2GlzyF
aV6t4SQ1nUH5Sg9ukbjbqcjtWzsunGXnuPK1s9R9lub8B4j9wDf67TdZ/jXcky3gG11iQcgf7wro
I/gIxfjZyWm6AOiB4Zl+/lRvceVuvaKa3Yf80cpuwe0+KgVjpKshUVbIZuu0EmK4EwyJrg1mwWH4
YdxCwQZKVAVQ+wiuLEon6o9UbMb8vUjUQ7wdPraOPxepNWagh/3HsfkEjE6pshWkbU9O7am9rxdY
QCPCkU2UmTxTmQ66S5BPah8nXnQysfgkPYO47b8HTi5v3X7g92xKLiSGYKve3gI2Gm+o15hN38HS
C2+xtp17UbU12ug1pOilV65/zwX9irmXqgt304raXiNCCYDwULGXyIY2HH7XwZ2SNfS48fA/gyOD
HFTQSQRdevs8ASoOc8Tavm/yulnmpho+xb791vle8t0qGwzXeSgnLbFVYsk314fR6hA6DIZsIX7T
YQ1tlH5EmqQzo3NgGm+pEfB5QdklZnbKY/lGyzTaIAiwXBfC7pIDLdZ8ju8gyPDFmtS8SNerHYL0
bFR4VWjlL6pvhhbUDl3Pe7G8dqV62HSmeDH45QKCvdMWpJnsxYO9uDKF/JIFoEF70GK7xKnsLwIE
akANGvklhjWAw6C9YXlRsP15ZGJG063K7BeFlc0ZEkzqjFWvOmMHEu+cwXgWdhQd7TjahFZWPqRp
3N26iQdASw9n0AExl2UVMLajVqNzmlMYis9zKxvdbzXIH0csjrBrcbkBy0tEyKgvHSBct3F6ZdxQ
KSp9d/Xvf/3v//d/vw7/J/ye3wJGGubqX6rNbvNINfX//Ntl//5XMVfvv/3Pv7kvbOE4HBoWjg/1
EdcVaP/6do8kOHqb/0s20BuDG5H1wOu8fmisFQwIsm+xCkJw08ISoVuf72xfqyqASX/fJCNouG3r
fUPqHOlz9bUzVvM+NuxlcgRjZZvQCqt3nG4HqJmTXtxJZltBunKwS+ULOZbRdnYZTKLmpzJ4xBcJ
IMx1mREnTrxCNiaDQQiUiegQJsHHOupcZumK4Tt+gD0x0LP64KhsONv6MMRNtcnx0IMi01+tadV+
gph+tnM6hhW7k7kV8Eiim7vQWOpME8BNgS3++dZz6/db77rcxTfLcZCDdvnPtx7yeLnR15770PTR
uEMSOARqypzWGTfK1ypB0kQvJ/oJPOhS8OqWerjgPIGqzQAT+3OvSgXGIZPiwzw90zIb9tDCrNg4
OE4tX9OoslaxnfRnD5aYx7KATsaI3NTzBNFn3F73m+4K/WlgvHVXFsBpJEzHE/3MzGq8aWVsHzi3
8MwFpcH7L99L3/715nCGqC/uDgc0xHVc5+eb04ukFIDOq4d5ke4WDnj5OX9GhiK/g6Nsdweq/hM9
DqNaGRt65FFR9wJcS92NBbyKLem/IQbcrl0nU1BNw4NJqhpmDY7TfLLa6uzpNSJeivcqZvmLYxSw
DCp6dB1zfqy9W2nk1S2A9hsk7J2HXKvpl9C2hdxBEhypDpJhybYpoP9IrTSgioaNo3X5ETWDa20V
cfD27GyJ4FS8nzwF1f5AgfI4BNDMsPukWtYBWISyeYB3vfPwS19u3tautRdw7vhlaU8Oc1br+Afd
SPZzUxeCndQj6IHlLzuZPPpe9X722OgDIoVF5cQQAEMhi9xu0YF6eMj8Qj1arVltDHPK19RKo/s+
nUfnEO+9meONvLDY2uJN8kFcvms8/VQ2mw01lBaT/+Ubwf2fvhEOY8LE/w4csz3QkD1b/5w+PKnw
ZLFGSMmEDw5eUbCPY8OlNyGvTDzDqHw2/dp6o0UYN7rhFDrBcDGkjyWaUcEKMk7O5Co7u8SSeexs
D0unlV8UxaLRbm8RQIDw3iljmMsk5ZEGUQMV/2PdPFnIkmBb1wIom9EW6c7rJ/PIuDCPdMaHxC4X
KhqBtkKiiO24iPfX5t/6zBW8arf/5dnz82Nf30wIQLmcucK3IETnuz/fzERWzEwzFtx7Qz0iFZv5
CxP8hVsrMnyAvjNz3aW+es2Zs6a1LvWoKgmWXs97KNxCeBZpxEKAe9wVuxp5Bv2crfTT9cMBJKNz
18K8DR2oGh4fCDqZEuG0cFLLKjEh72qx7M70k2hBwRZqYJnx3oDsTIQoAWTdDd6qZVwU0LIJ/PTO
Bc7ln++K7/32FbO5xxzPtCC5y7j9y13BioqHqkndewa73LOtDTMgbZIAwqZdbkkTNXTjeDUUd5E7
pasP0ss5DA1ILpnqoJ8HYqyAlDxJKwfeCBzc4DaruooNaHFn9ZKggLkDeQ5YIYdHRyMG43DrtYX3
cu1Vu0CneQzWjb0ODRVBDFGMyAh3VGx1XS/AUJKj/Vsd9St0qGnurPtR3VgLLLW58Vppee+FF078
AY9h+IpYYQylLrfcU0tUwmMrqGDDRa0fevu8rmGQy/2TbC39FRg/4+tUbGKrnnbKAVBF17N8cPGM
QFARqinY8UOwXwCM74hFV/vDg6UJJAWIyEjdYqekS7qtH+GglDYIy8EiTIYK8s69Gexh7l1c2iaC
zPzUBEeReZ9S1Tb3VJXj1bVKkcPYUJEazBQUKma+/fN3xHJ+++n48NvwTZgL+A7HLly3f3gOjT7D
6260y3spTR11Vi9xXUVfVA/QYTC47BaZnwjwPACAoa8nvxRQxEB+P3gtkFbawDcVKhmeGz3+PNKv
OoYNzHjyMyMCxxVaLG4fV4hJQa6WiiKa1rJop4dOelAVCdUm0o54RW7kZ8jEAmqqi9hhNDvhaZUb
XcwqiI+Wwhl2VATR6H1KKsIKeR0BarYWNr7lxAiKAqteR5PbfKBegy2OlVFVzcQhBKqmfcpBdZup
104GIQk4gZkz9Rpuc/lNYDsfqNdFONTrts/a+RJ0nRHEHOC+rcR7tSyvvXMtP7xJOvBfB5B4Xu3W
glM4Y9kJCAXv0QzLfSAL8xWqIs0Gz9RgS93iGPrnBXJdfSOAd+qwg6B6lzdv12ntcEIEWA+naYs2
DxGKL051yyfgRmHdOJadfITmOgc+B9G6yqv3Y42MAGgF3hLqF9E3LJ/UIpvK4CnpJmsVGEN6o4AN
3bV5Z+1pJqdBBvA6U8+y8N4vBpCT4ZPVBcPSgmkcgtPgJgt9oHqnasZ17djt0nSn9zpqoH4DRtmM
2fMcItrCxKq+ESEiKIq32WcIwB/IGbKJm6MzTP4rQIzuMvZGCf4E7FO9pjJ3Q4SAvWnZNj6ByD6L
qD7UgXoCmSG5YXgc3o3YGMHzAgbXTt49Is8Vws4uzB/zbKphE1B0Wyq6Zdru6w7AcSrChNm+rWu2
iVs7v0OE3VzlLPXurTJPb1jpbc1x8O6paoiCZhVYwbSxdZ3FyxrOHXP3oE/VxSrUnoK1MA2CumHq
7ilgJClDpuuawQM2umMghGOxJCDd9moo8y6qHAT18npvB1X5o7OSNzueBDivdbDENp3flqZdb3la
G8ADTZBrAItzU0Rtfv+nedJkP2RFuUXAoluXHSzxVFTcF5qNAhgkXJI1EUUZOUwb61ThJ4U6Ojgw
DqC+7oSnlIhK5OSH8ZPI89U05uNTnICgIUrXRK4FO3asbjkIGjlepFrc0EmLFYhFw6GvmgoZuL7r
k3Md5+WyNpl/B31SubVFEcFxJh9PiYXoPCCJ3oNrIVHg5lJ8AadqnWYh/xG2/rFrkJGh4YAD+Hc8
lNEWgKZp889PQvvXtyVWDZzZDC8G1zRNPFN+fhAiDFU21mB0MIw3EWLtA6SXiDIAualbX7bmDlJh
iIhQXQfvKNl0j1PjljC8gUq+6xXmXdwprAf6Mvua41sJcBl/ufYAhj9EojqIdp6WWCGdlRYiq9j/
dP6aRFVabWBLZ7BwhDHuMqzrbF5H2EAfL1s+JpdWNtYtNTBkQG7/+TaYv65L9W1wGNYN+j/XpR32
h/eBNwzAeQvWXt4x7Z6vmaT4yTM4H0PEC2EA25qgl3n90aehveKDXf76MKARRQqQP/36ZQE9O2TK
4uU/f2Ru/rLO8UxhCoG/nMDDg/+28wTT1ITRYBRf5gX9FHgVlNDD6DNiwqkOykNtJ9mWfsC2f1XT
O74yAaX6vTqEbuNczew2+gyrjWvvOm68lROVChpNawpzZp4fPVkOtFzydD3KGsLBSHmsVGLKeyMs
389ghMBXfQuahwpNvhr12bWfgkXef9mO0/7hGglx8E7HNphjY2G7Pmco//x17sdpiKrJSXZjAKqX
s7RhytJNsNr2sNBEAMm776cehrqacNK3yS1Ab9XztUdg8An5IWtY9GEA10YLVIZoGGDlJCEwneKd
AxZoLh8clpWHXrdSkQ4hEsGjO4QnyRm8qv4er3onAU/YNL+w/vjP3wFLRxd+/ufixys8qIRwy/PA
yfr5nwuqRTYikxXuZg6XXSzniAxi+/7ZChUSl9BQqfQhmcIaOuCo70YFThsEqheJCxXHsO0gzMc8
hK1Dy96O0HKW2C+AuvuhfG0nTpio/su3GX8kW0cDPvxjHGbhX+L7toUIDxfi1ygWg6tv7kWy3qZt
wg8t7MKXQAoBwdY74aco8yGBB+C58CowJfkQLageCCBvAy1GJKAjJT/5LE9hduS4FxM5h6cMeVHq
pnJHHUOJsAsVcwey1HXcM4g6RlgtD01xQMbsC8BW8Y+suGDRiDeSCm1kpALxqqWGl4gMtvc8SJtN
xsry1KSdd0ASud82FZ9uwc0OV3iUWy96nq4Joh/T9D6PZUDp0UUysSguZijxAoGCZHcB0P4swiQ/
WPh1mzo81EKBKmzPk/FUQXfjQr2omopjW047sJ/fqJ6qqJEOY1cGKxPL/uV8Baqs9ZS1OXSLVqlw
S3UfLia8ZtuOcX38UJd1Kjs1rFw5fQm/SRpCl3JA/tpaaZV9rKM+hlPl2gOtQ8Di908NK2rsCQXz
t1hplfuQQQUxBXMMLo4m+JkiVSuw/SznFBcWwvWJGUAmrzW6I5VzkYfLJjQjrG7HdRrULlzVpmRc
QkAZbxS3yR68VnrniQc3Lpco6ao2DcxF3TAHXiFOhvxNyI8Gz35ce/QO+wERbA+Pdp5gvYiRSMR5
+8aDzTLN4euJIJwO0YLWOVMPnpbJDrFxBKB1I9XZCV8jdCVv5ytl/rjJxnFazXNEWPHGU3zjVduo
TqAUp8dZtVBr0ze99TxDHpR3Nvwtr5N65hStQPQstjQrn4rgEqXhQTjMyZegA8KRogjGXcrm6zRh
wE+wbnmh7jTPgLT+ooGQ5oGKgRRcs3aA69QfgQ5lCD2N1LVONCoUobGrCvxN6FNRnW2BjoBc94X6
RzyCOEdgyhXdm3EIPtt5HZ0EtOHwjOk2luT8HkKP/N6eIIUFPwl/3biOVMvBSBZwbMnuqAswBjYo
bHAjjSwrX1sxb7Z+BzXhOn1L+zTdDBOP9tywiud0CrAA8dI3ICDrldvk1hGuo8O90XVfzDJI3oCL
wlJCNeZFhH5yg9Wpu6AG5Q4/utIz7qIgT05T3aQrugAi40eh4Yx5N14g1QcZ+wF/CrpIGjzmhW9D
fXVIt2nR+9uaG8UnWG8vR1YFGyutQS31kcYxmmMfl8g9tAgGLvF0ifdm4jFwrHHLEHlki2KIWLkM
8BALzFDdUavpRt3Kxc5/S0Vp+MAzwXh1nqrCd7hEjOYi/JY9wBAj2gQWAnlULFXFbkBp3M19mwH8
bFgF5Jugtr/SbF7hGVuY7DpL7MLNB8sY+H1mH6ltrlFgQmRAvM0fVRiNOmDPAqsV/cntFPsriIiA
NlTjpYl47Ptn1jHRGMm6LX2ONmf8ZHP1/pl7V9wATqzmz6y/DhtoG+RrumrqAME+eR4y6foC+kCf
G/Hmfv5c//SZadBQG7995jCpINiPvNtNo4ZNbyTOtq38fYHcHDhobQFgh9FhaUGnY9pWgK0iJ1JE
nrPzqUUYOdiKKoWt29yzAakjdkQI1zaNC9Fz9EBUb4JIvCS2hJE01THIi8oTnc61RWexBaB2gTKS
lYzwArCTh7guweeooPKGJUj6AN5l+lBmcKTs/TvqANCAvWagUq2pWLDEusdg6khD4AAmVr3s1Ybq
aoFkcRstYYU67vMuXb4Pw7y1bIDLaUvobltd+sBCp7kZTXd77ZGVY4t/ZpvvaK52avwz7ojqlmVR
HKkfDa3CAXZsbKj3VKcG1p9GHr9O5dTuhV2mK0R24y1vBufAEpWdw6HCSn1YBarYiySHvRVT2SKV
xfhdTptUefWPMZ2+YgdtPYscyYW4ChQw4RC+m2qOjaXVhHdDAB0Z1VnZZ8sUyBVjEACz2Ok01lvs
2BDib6bsnq48jLlziOPB3UMacFsIF/JC1uQdm1h+t3urRJrUgLilK5xzhLfGhhehCTYdLLPHpPSX
LADmwajXJYcwRwqUxZsI2QUS2jr9iaiNGHCTYwAFZGTl34w2/FrC2fWTO7BkyfsxeKihT7mCDQMD
7WN6vzZY/MXhl+tGbSjuwIcAbU7K/hkoYRCcTSAKfroeLLrB58vrYuOPBRTMoX6+qaABsgpSWOio
zsSCe+zMNxDzFkFn1a9+Daq9hGrcjiGW8exz91BmetbKN5digtGRPXTmjYoS5HJoJGKRgSzHh8A3
i4MHM+k1DcjUdrJi8RnUkhQGOX29B0xfPE6+e0vtkxsjpmuW/UUWCM+D3Qi/c32lzA8h9MW9R/zs
mv3AZLIprSr4HFSbeaAturXVTvnBZIhwweTv0/xBgJpdGAo3LsGG4Gwhf7PM9YQALh3yqFXPk5Dj
zgIVfJM1bfuaFOOCOhg2+Hnw7suOEF8q730B8ym6VO2AvF1j1XAbAgNxcqGAuaIGw6k3Pp6aL62w
+VZAqnQrk8F4yTn+8vqakLgrV5MUKVK4QPzAI7mcb1cOY/UF8C7hvWvAoSbQJsI0ooqB+EEg6bWZ
3HA7TEW1gwvJ+Dzl8FnRNzrJoKsAAczs7E6GDwhebC0mvJKekKx6Kkc4eETAE+zyMIFt2Jz4Rvbb
gXYC4lkuUpdaCIYazNB7MAaYc+q3aWXEzn2hDyLF2q60Y2NNr8/I79Agvkp3qOcXapFF0zaH7s+S
BlGvDujdEcvJM5XcofXhutHjNZzn1hbLXPMABtXCAyrmKeWGcZeExdEMuvBl8HLcHJA951hkVZmA
ObFsWFOrm4XpykDqbk/BRyBJf6SFYBcq6RktoCielJ4R8nQQVkf80ilx3b/I4qmE3yRIISdgT8Wp
dTqsTrtysHa9195YugFcN5DIPjQbQ7HDQ9/dT0UMDzvgssQpcKy/TkfpwmVnGr6F5ueehxD7brsM
QTDfTpbSk81S4B25LW3GkyXsGLdWJ+xLDb7J/VQxebYzdvPeWRlI+A1ttprLFuKFYGiWDZxu9GS1
gg8pi+/SyE/vkRpHwF/631s3RZvVimxtNTW+ZnShmudf26Ix10CiszXwzjaUuNz4JQ0Nd50Zfg5j
GxTLHpLsgUyKExUH29oBg4ZVVB44D2oq1vmokpdQVshkaFMvLKSTF7gliG3FgvfWOB2SFRSbxj21
dsx747msbmioEa4nm4GxkJbFLYIvT3SdTPHyQB8q0/ODMv7nD0WtGaKP9KEMKHxisZCU22Cc2IlQ
njPeUxcVEuCLADuZWSyAuswyAh+QoaERIMCuO3kkJnCdaO5Ec0a6k5Nl06pswjW29EvAkuIH4ECm
Jxto96QBO5hKrM+xRIMaO5WEae/tiSVzKS3Gkx3m/S21BY1/A70ucUMlK2QPJaQl5xJQlS/t4JkX
alNh9sWUTjSrhjM4zCM3wvvzfAlWpQv8NoITaYNDYLVaKH8EIER/uKDNoVlgpuJIrQrv+YWZceRp
qBX+7/hNpUDatiF7cj0/XWbs3LhVskdqLH+cXC/eJgYzV1QMU9acRRV88pgb4VsMn9JwhNoYNbIG
l8rt2j+o2sgfh6TLNypGiJ5a+8DOTvWIJ9o8toFOikgfqWumIFWOQD0W7vqisu27NRwfUmTfMZEP
BYYD0P9p1deX1Ia1QJpk5gr59frilPD5BSgHp7EExmKEY8Nmriylj6ayNm/jrON7hB5GWMLpORiA
IJmdfap6uR8mYNQhjqgeTL/PLmUkL8wwjRxg0QkbNtOGnZBudaK6OQYjEGdBVuYPVAejq89OZgGI
pasiv4dpvN4IjTTBaIK1YOU1nr4YP5iATgUS5o5UpBFWsZFJx+6pxpRY641OmmyoTY5Jf4swyNyd
evQDDK/bApEkKgqEPSHc391P3vAZUjnNiaobA7BGfEG7AxXDuuRgGoEuQEU69JX1aDdpeqYr+RPo
FRHeXqAs4YPSgTkreG+s8EVJb3s+sLXN2m6NJ025UU3urWhgl5vGff99/tfWpT+tRpDNAcvDLFNs
WzdJGm8tOaoH6u4oJGYtNlnvH1+EHHsg58VP4De1BF8UfPxwCWcnKHt7tn2beBqZbYjDtYrOksHb
AMk3nKk0V8FwA2nDYdiCUPs+HDr/NqDjY7eE0sFeFoO3Tjl4DiNQsLddLLL5ENRCGy4EB7/NITOT
1ZC7Gwb13s/2237TejD282URrfokNM/IZzdnIAGzVTKk8muwpzDztZ3x7h/baTxezRk2f2m+QZbL
W5VIER3bBtx8cke/FklE51oEdQjyM7ozaIrojOX307WVxtaAZa4qnw17gQzWTW2bPygl7AoJibaq
creUEsaq7TzCiOC+wSqUegWx9zT20CsOs97fzB5KlvnUtVFz53O/vEvt9JmQMEUcio1XFP6mxasT
KdnF6IJWCZJxvr3qbKVGlZ0kti1JEskCKKC/upDGVjLIcgUpnGE99nkyLjxf3UL3MN4TQGquI5iU
OzT1ajZ3g+c3ACLFAAV0lwncNAgpy4kDsqtAnIHun/1ErbAYg8ExfB3SpA83Q4g4XWH0UNM0rZyd
ZeKvTWTHbm19GKF+cRtmxZfRqpIDlahetNb7UKqjA3ONYTVi03bj2NA6jiBOfRy9unt0krZeN6Ws
N70ucsP09m4cRktqzXns35QVP1AjVRVdt/JtZt5RCX45kOcds/wID/aPszFzE4WVewen7ObeSM6t
pfo7U9uf9xlS6H7QsAW1UZ0bGrCxinoEhHR/qvOTc1O11qmLs8t1oDsObEHFXwbaykFaHIPAB+sR
ppjer0QD4kwFu9wSIr0orBMgumAihBV6O8NQ1lEFvfvbGVb4G9MLgP5qED1CJA1RCs1CADygLzvn
RKV2MJwjjDHeqEQHQP7HZQyn862d9RDq7kR43yGeqgfTNEHUGPrXHa26OoHqtp6xkY5z6ntD3rsS
IKlUwQNyerbonxRD1nrFpSsggYrbR4e4qo6pbRtnKo09eLRDbz5TqfL67lTlYtqmyJydolDCUVIf
kr/PnMhvt01SvlKP1Czfe1BxTNOlw4sYtoS8gQQtSEATLGsXPtSyL32Z+jdMN2S6IecAs0IQFjT9
vPdvQDZ+HwG264+psEDXcdJ9pyEKtjnxOw71y8mq7zMNU/DwaN/VBcIo1IHqei0GZAALOw+qc4Pf
ef5GeWfXGZZuYkUASyt+oUPvD7Bhg4fupoOhEjb0aJBCA51H3cLBXxxshNSoH7UCXPjYwZVtR8pa
yndhieKKIwlr+SY09hfUQGXdagThV2A+wb+X8BJSfm89XM9CY5SrQtcZIVp54n9svfYbcucEs5sv
su/LVwRnkQ7Bn/+CvKt1XyIbSfUVPOgRNquLHRui8lVim5QNhfvctVjwQIITW25dfx2u4FJzrADN
vm0sKNZM8HF6wUYCAuj6rNJ1dEZ11Er9+q6Sv7YKv38fm1dBtfR7aW2NyQZJrpEQSYIS/wEAlDVV
XevpLHeb8NwKXm99J5keeRqcDZh0fNMngEz2dAJT+LnGq+DkO1uRB/hLtHErD0Zl3qYB9hAR/eX+
P2Xn1Rs5zoXpXyRAOdyqcpVd5dx23wjd0z2icqDyr99H9HzjwWCw2L0hxCBVlEie8wZ1KIMFsx5/
HgmQ8Ju6a6E6rMUU5+B/Z/h80usnFcjDuAWMh7VszWrqDqPfGC/8lNphzONyq6q5BGnsELYJVVVO
Gds0Vgpxm5j9xtLM/TimKdghTg1AOIYNd95F6yzjRV24TRsCq2tVuFw4KIm1R0R40Qme/QcExna1
MKdrsJKDsgmLUN2JtwOsJ1LZUWdb31AMQ9IwK+qNEeT2N80tidZqZQPPrbG+tbX8mB0rf4iJf778
x0maMevbsjLd+xJbbU1LM9ZK2zgGdckds03UwbhsmbHco2u5zr7QzPIwg/EmPs7kq6qWtNlZrZOv
qnb4qW6WQjSP85zbZzMPtA0yUPO7jmjSZuid4o6Qy/ANTFpp45mgRona1qCbBdN74CPai+BTcWcN
mhqlTv6vUZYGF6Q0XEE0JBu+2dq9ukLd9X+9rKr+62UZJfOx2jfaaGzJHxbXryK10IOr9fuvlsJg
Hg/BZG3a1qnvVAfuIuUV8nt/pyPs+14W3MvMM6+4hLnHYm6cfUbm831o5TZfMUuph4lBXHf+XYoS
7G0asDz/BDNxZtSm2WvedH+daUTF55lqQP73mY1ZWJ9nKrQTFpOPc9UdE7wqfsjyMCFY9WeLE2XY
1IP76qDSsauGMblvGy27tNpk7gPHrZ6JtJDb8gb7j37pQ3VWVs0fvViSbx3B+C2oMnEVNqlVwyF+
Bwk2e0plJDZxkTc/k9FH5YHMWRYxo2q1fF+SoEGzRYobcpHDyW+rDxb9xbaZbGJRGC+h9zT731lw
gqntkz9Xo5MM1ttHWRjeJqqc5MHoIvPo+5l7rCyDJBH4e2x6x+nDditsbJhbDS366JkQesMJrlFj
VC8DFIJNjUfI0Qiq6kUnVQXdM1g2tS3ql3Ee9VuHWyL3XfWiRjiTf4yXOX9QTW4byE3q++Kkxi/x
4Byawsi3qpcgfndFHu1RvZRq8sW0xWqnf1S1TlgBfCN8TNS1k6TV9i6eykjD8mbc2KoAwdbf1dip
KtprkTgwvhPNwkwnKV4IXV2HvKy+WwkYaRtJn3Pr+2BrF0gd0qi+z9GMmmdv86fAy+O91n+q4ZoB
NmnyWdirKroMXtWNH5XVN0ec9eReNeNjuu3stIBLUZinyhTNTl100Jxzxc344pYdlDzLPoEhy56y
ysa3xwbcLb0Bf6pqiJgKG+ZqoslPdQfKSMwDJK9yzDZu3PZHVLw0EqRr/f/x5M9Lra/2nxcwYlxA
065CfWVVbOhg9qNn8ZoaiJH1Ru2Eqr00pmVbx6P1Oawtp38M6/z8n8NcFksnnXXy/ZwoS3CSiL+S
rAtC6Rn4JXSL/U3HebdED/pN1wNxc91GhMv6EGV9MBwCuBk7VXUbhzw8gYI7VY2s1yF2uzdhtfZ1
KuKMNCYXG1wHMnGPxGE6hC45/z9gs291syQ4AbDpkhpB8N22cJPDOlF/Qqxl2E9Zp12ioOkvkLv9
vZXU2mM6I/gm4Hh/d4b+aqrzlwwZqDFpf9UlFhWT140otOI9XEdBefXquT8hYz0f00h2t2LWUBXG
iuSNBNHvIh3En7F+dEyL99EY5quf+xNuNNx72koyS9PGOMAM6M+dWHBrHUpnl6D9+aKvDwp279NP
zZVoWRMTwy9yOGaWHh1nrY23nTSt1zLp/GPdEIRQ1RlI2THTsvSzismpdTQDmX1Wx5i7tMD6bKtX
qf2a6xPZcqssmV+pdk46UXWrz8Ee6epjg5HiZ6/bxt3RIyL0ea6oPNZ5ucBqcD23dsmeyNnA/nF9
V9B7CmzjtOGzt3Agkva+jgrl2hsEdXKMDW3+7M2DSDvEg6F/9i55Gh1IsUPGWK/ceiRCsAS3Pnsd
A6dnx0RwXF1KJLp10Dt0VFWVuc04LL1EtmA9t5zG5WA6EaYp6+sagzkdsG+DqjXLk/Tr7hjN5Sve
Q9MUwrKU96rg5/3rKLVunlymu3+PUMMElNeQRF5+UFVZYzJcCgfTpNU+srBN/z5YOnBGdXRj8rU8
xFHcZN/EiJ+qRjVOFXGV/vQSkKWqpjpdDf3Jvhj36Xr+19A0JxaVp+TCvtrUUWfqL2aJpenXtSXO
rBdfOGeZRMx4aliUwrlt0MrZqgsbBQ+fMIE9XsCyvny9WFRhP9Jo1UPGhvwfrw+FQyJyVKY7Nfbr
xTwzOzm+rO++2vtYK85oV7+pV/66dlKa/obAmPF5De858gyooqvdiiq0BKcVEeCSPa+ssv8157lw
ulDVTawy/j50SKWh34LkgKUVWx2Axd3noRra1bkWig4/PtXzf7lclycHM4pJLawvOa/XceOeXZGq
27PmIzESmDsj9VmboYMbjEZwamL+5arqOpnHvklU97oTxG8tHm6q3Zh869S0OstYwFfvhoQK5krg
zqCc7deCaIBqz4pgOi1ighyoLo4tDzkScIXEQFjQGqQCVFF3aXDXroWqdp3T7PUIorhqG5uGJDU5
/jrUTd0mMpV696nXefdZLrd9YC0XJmGb2Nja4UbesCPwxbySlayz1UDVYyTYNq6jxXruV7s6CiLj
r9NU9fPcNnbOdoXm6s8ml4d5NrU7IA25bxf3qpjtBMGqtVBHqi0hYbQFB91u/tWB1DgExPVcNTjV
hsOs19X5X+1qhDqVNHm0b1kuf77if72YOtdog58EENfIHKHffIzmvb7aI85rAa7rr6JWBoo5tJKT
G+u7VlW/xoxWrG/0QBsPpvTS0DGcBEPpNj55dZEfRhHnb0mUPSpKySKjlL9F988RAWD0//uISGu6
7bx0yMMGKIgGfUfwqovLO1P3draF1+5Xk5eniCN81b/OaM2sP1pVcw89prhT7Z+DvVn3tkOBo53T
990DWvMwW2wcOyZiJwHpvtY7YktVhc3sdA+fjXUpDwD6ViFX2qq1kG2e7Nhj61t1mc8Ow8M/JkNN
e9FXG6fV22nSZn2T51G/+WpLfeF5n/VKeTd9dRkGcqqhOlM1/qNf1aVEC+Nfl/vPgdP6DlSPKtQV
XcP/q+2ryl3HxK7G+GWDI8w+g4C2Dci4TGEdz/X9hBsjmZ2q0S8N3BTdElRVTx9Js9/GXQu3kl95
rxrd1l1NQWYr3WYt2qfWKJ+aROdZYibeyQ8ywiVjmz2a/rvqUy0gTtOjR+Rx89XmOvh4JCVsOiNz
2icBVuCpelLDVZFbAct23fc+X0O12UJPEQ0R8mhW/ng0Ch0MTFHk9wTj8ntJ7OMoUIFoosoY+e/6
lKpHjQHL2YHHHtBxXkerDriTxr4aLCTDitw8V042yJeowPDXabDCC/z4uXCS6cMowKy3TtGRh24w
pctjABKlnM9zA6mehWP8gJAmBo0aDMyMrXM4Fvb8C6L9BhLKGId5P4I1sgIwSzaCAnnSv2gRSbzB
apHu8JDe1vMsPWnrugvuUrWzpnl6qSVg8sRFWd/ws9PnlTA6JbgSIfjYc/vlRXmNlgIR1a6+WI5J
Hteb85rs0P/q6kgVMpHV0ZYWYk9xfO/+XRBag/s+8VgrEt886L78UJ1f7f8au0yNWLFt/3mNr1NF
5g9nPPl26tpf7eroq22p/eQuQTZ7fQf/eqWvNvVmsgXpZR8Xwr+H+qWdHBq3RGgrduQ9wrAY1Xux
tZ/8Qu7adAG/XzwGHkROrer8l7o0H2rsl246idQX2RtLuHhdfhnGInhZol5uibt4fAf02nJ09xbL
/525VoPVS3fRgOCoK6VDa+AbI36oTgepoKeI24U1912bOTU2bDG3Ot7rlNEqZ0sGCiyDqqtDZNLH
M4jWlfcxBa9FhM93Po1XVYPK+VyU+nj7rAmbwJY/PXzWXO9YLJX+qGpBRoTERTegtLxv4M+hDY/d
clOFCRB2V0aWDkSBtrKx/+poQVRiueL7u053eheG/9qDqEoY84Q6fl2hQSfglsbiUOYJZvR/Xxly
fLArLdCXASac0J0Ke4f2mPvQAbp5sCsvPc62B7NsqIGWrIVFVOS+wHrejNiNsCqlrbfig9UuE8tT
ampsmthm2LoJdHXsfR56TJNSbbrTk3ncFkS2fqLC0xjuzxalva2eFeadpdXedR5Iq6mOBrY5vp36
xzA6cDiX7jeELP8wy646F5g1IAL4dZgCzz6T1pXLJo3N6twZLt5dkxadsHQg5gyh0nXa+kUMwMCZ
4dsTwb36pWCBc2ixwt6q3gJy4X07Fm8Eo/Nu049L6PeJfKrXpCoqM0voeLg4DnGAKQAMKWxF+lI/
SyNaPousHP9Z/aktboHQrxZfiArBS1mPoqUS/6iqjn+15eu42i+xoFWnGEu349niHFvgQJMQZDzm
Quw8obewYpP00XBamDCNbH7KwX0JJt16yfrJPmaeHe3zeoi+adAIJqA0P5sFydFymLtrqhfW/US2
c9O0U3mbEqHLQxzDRCtBeaGHMUYnQ2Z4RUozejDXgl1Tcx1XIltKuH8HBpZFuhxxjaFTDWOK/k34
Oj2ra6hCuAkg8HgPLRVcmrAXvM2RMrSt+btV1yhtkkjHFapPD8kAIjwaHHFN0XG4Vo1A81VGLpEI
ql8dYq0Wdgf0ycKE6atDc53mXgO46TUlyrml9N6tOEJrWbTexYVY/G3sf7prc4QH1Klfg4NkCZoQ
BHN8NOC6ooA1arijutod5GF7N8YFiZ+1Q7WpXsdgm4tYO2OAwzYbNAhDrVi8W9CBEPc9O/mpz/mT
bBrtpQbadZSLbe7zptTeS0fbqAEzDtvbvsnsO3VmVALVUdYr2Iw8FYZOfvcvK4jOyZntMuuWuo55
IyI57uNCw0Hk7zZ11Kai2azhjP0czAMcQnZGwzz5/DE5VxVOm5vXoHpRFaviAREWgP5OU+X98tq5
z3asu/OdDYNv+3VWs54fW/UQyjnyDqpDvZUI7AMWPjEi86srtgcVX+uleJvxfL8NtRGHJPQJOLfL
fPAa6e3UMD8iReDaAfPu2vv/fZYzJM1rj/mSZpnDA+JEwwNsBKQ+LHySySTdfbX3SUmieFl8toMM
Ux1Zrut3hFhP6iTVzudF9KEb1xCXZ93IdhNhH333m+7o70pUJw0O6A54v7VYIt9v+PWbJzV3OwTg
66xYdCeJY9QRZJZ1c2r519l8o++gh/+04v43l4vvP3X+lAKgt0rTCAcXpyTC0PNLGlB1dMN0K/NM
35q5ARhY+vezgaqaUqRKB/MQ64l/r2qqfW1So4JFRIfPxK9ZVgD+bFc817MZPWrFEyBhKC9rsWDJ
tE2bKdmrKnDR1Ua5mQ9NuiBs6fd30ujmm7MUCFmSdd9AqVpOqjPxpnmPC3O5U7343U6XosSHR/W2
BYpeMzgu1amaYFoAtbXnm6o5ETGGSN5FbG9Kc7v6TeerncYAoHSbA0jfqOqXX/Wn0Y2qT+sY2Wjd
Rnla654/wY025mffR7bT1DAyZcm7PGuwethMTK/zWlNNumm+IROb36vxkr/sAZt4Zp11hA+M6HEQ
NgF8LhZApkBkA6SYiY2OmVyxx2IJOPH0qfPHWXdZPdrJPXkpfcsbGh+RtTNZ2IY8Nx+ndqgBV5rZ
Zi5m/Pa0AZeA/j3unOAhO7s8bB49uN35PJNtzQvvYBNd3/te4O7tKn+v01oDpO9qG0F68kg69oQQ
cPIYRDzcDTiK330C3XaHQrNh2hYaF/Z0VUeaA9yoqRFwNF1+1lQbC+zb61X0ONgQf2KWJhRL5Iwp
edQj3I5lZG/9yiSKm61I8qM3Pc7BuiIKkPaNeX0kMObqbJntsnk1E1jeyGecuf+nEBjbHxUSe0+1
bsWn2C8+giH+IdI4OESJERyzSCO2xXaYWTLhX7S8OsmcH9wVzeDL6ZS2NZ8V/Rw/wabYdsIZOamH
GibiXiB7kEWgzxvjpbeM74Fh+qEOImxr9xHRTs0LW4sEkT4D/BnjfjOM3D1ECUo8pzpsu9AM0R+C
QEf+nDxhaC4CAhCJiB2gZw/iaT3JLZmO3Tj2zMt6nl4mYIuhqLr7nnB8TMT+V+aUSMw2VreLK6PZ
151WhKMNwNTMhw26kgCdkg/D7ZcfXdMf8C88ycW5WXWrXwIJtpXJadgFSVuGRjL/GfU/2hL1Zfa+
v5HC5ruQH6gMHtKg/DYUgEnMuoeKWz2ZoNXCscVc3tS+xWW2cdqGaaXpsB8T9o+8fEf3a2/xzZQB
pnmTJ3/rLBO2jv0GG6A5Azlmd4LZS2inAyEDTRs35lLmAKyc72ZiLgC+WVMGSSU2DPiATLqrSybY
ucBsqqmza+KCrF5i8nZOhkfBVPUH0KI/tLEsX/rozwYJ3QMktFeN6CjrhOVaTwSQimQVnJpyJo/F
2+qGeQWPySdZGlSZCC8AkRx/52ncXo3Zwgwtf+mHwXi1vPMAgnKjReLFgBeyrVA22E48A4h42ifs
xa/2Mp0roePElRXXscPzyYAis1syfgwSvcMhAU96TuJT0HQ7z8Q8MapaLHLs8bE3kpbFZ9ccEhfR
wWHoH4B+bO12HkEh22ej8rVQT5ICpF3/7C0VCcu5WrZ9VLZnkY6ntgebi9QSqVng61qvH8cRjlll
lwBfwXUhW0+2P/GwUKlJE3U9bnEDrgxJ5F59D5gzrjmib9xD1ydoZyb6xgUBKZBeOC4LPAYbC6DQ
iErjzLbc34y9xtI9ak/EsEO76WZQHPo5DQT88KZJzF0zN/LcZwin39RhA+8tD//Rt5g6DWXlDgep
96eqJtAFOpKz1FUM1f15gRiPoDQyw2JaxgNkjxK2s92GWL1P6Ggs8iyCxNw7vX7Tzbo5AyRfuMMS
H7sU9sdbOQMy6c35N3OVC01mCR6lWNXkWRmEzH7x2TURVyjjTVR7eFDl/q8n/Jw+Up8N3Ow1SVia
P03XexZRH5rk9E4xXNWdlw5/1JKfRwTLQ227CPjWaDeTga/KVSR7CG5tniXoB2O86oqXMlmaXd4D
RG7734WHZglAXQ/Z1LreLVri34Y2OhWLrz1HCPxGc3IxrP61dLpqj3LJR1fm2s6LJD8ewo6o/wz3
uisGUvgkqg1ZPctk+B63doeSYeIeMpeESj32+2hoyw3vN7sUxXQIEr6QokazxSyc4b6p+LKMXLwU
I3l9s2HrEolDlhb7hYDy0RXyrigqpH2y6nWs9Y1YvWHwqcQmCs80MprZvquiu7ZGVSLjZtSN4aGO
jPfE9AjVyPais9/Y9Msw7GAuOmfN1AQx+8w+5QKRi7Zr/hRGVYV4Ult6+ycqPWk42SnW5DLHMDV+
7ErLOKLQ28a9s0UBufLks56Lt8bWkzCwJra+fnFNPDfet9aIvnAMNrUNipNpsEjI/Oy9a4Ml7DN/
3njyru7y0HdnNxRBieF7Ufv7inTPtQey2Mayu5ZOTzQXORLE1OBhdUJHk1L2r8T001AMzrtVxTCy
CDndhB4cxxzNE1+eK23+HXjoXznBhzMW2H9a46kk8xQmgnQxk/O0mR3gfJUZ+BvC0NORnVdOdg01
m7xoLunY8Qz2J3uPeYYZ9qvTp5UbbxC6J7Cr7Z09+8E2rQe8MzLIqWJML6oYhJNeyI5e8qJ1oQ67
BTDe4dnPIFgQWQoLVwv7rv0ztZw3Z5z/aM2OHFhi3wHGvtSwEL2ZOKLt+s0WHYRvErPRnVfmL8iK
O9eJ6T7s2rw91rEsHooZHJ6W9I+iX0K7L/JdwaJua0LMQhQrxeHLGMHSFu6mN3BWbkxhIQjkZ8e2
8OM7bGki1H6s5LIEhXOKWKmdRZIZ53S0YGgm5XKp0mw8logg3wENtw6GEPP9kBQxi1lorcBjmv0w
YoxIrsnY1WnmPRRdnOzi9r7pofXYwiWZigEk2hksicsGn8ME8d/NioLcdJlO3twGEu8I4by4VoBd
4CKaVymPg+biN1Cm/mtH0n7Tek6P2n6CxnAPDMiasWRCIl//tjTsnIxmqN61hpxokHXTqXZsZwvl
VYYdj8v3yYHpk8BreYdW3AFOBvsAThXXv15Y70xgOCtC1Xqf3L7Hw1foeGs6+GcQF3mPEUQJeayP
78TT2bBlzfBuBNEQFqCk3gMHKSRn8dv3uOIRgY5h8w6FbEJUG4m3WLPOGA6aV/QnAwISXrRV1VQs
5rXUYBFNyfvSZfUGXpINpjvu9o09Mcna9jlx2RNHsT1cO0Rcr5LPepn8dg/gjL0yE9C2Dgqolrnn
3LPWJqIUPGhLq710GV/ZaG8Gl3eJxFCGlPc0opGMKEwfW2sUFDUfoFHAfmMc9NzJNjYukPG9rmsS
4xT5wx9yUsxog8Dxr57J6cz7AT2RLUghd4MblhUOhpXfGmf0wllk1i4jBBxaznAwqyzAkzwd90t9
HbJmPvYyja4Ln0VL3Tswi695EokHAql9iCYVU1ar6Tek0FH0K5cH156ZsKt23hBIAF2HcjeJKXay
+pD2G8gM3d5aTVD7Mt3AiM9u7thXp2DBaRVpRzxY6uV71Vf4jFTLocGVbzfXwRvg4G3fjinEF+7/
aAHxOze+4KO4YEMwHO4W0Nqeu4uyJA6jnECrbNHBERzu0xTKkIjQ+DLG/MHVsqu5PrrjnMCVW/Tt
tkc7VEOHjYlbQHwgIIAWa+Rs+qDwQr2oSEQyPXRp5D6NdUBQ3Sn2srfqcKwIalRB7G8zDOBCSWZ5
J5Pa3c5+O5wR6nDvU2Gk/OkWcAuScJlh80AtWULfvCq9K60GkK51NyNNtxucOb3A7WgOLPwd3tkN
3bTmaKCYITQZXTpuVcSh6j9sb+kxYhPOcUCKJklSQsizZ+y6LqoOVSzyjZ2+StdoHuJ5MkMiat95
epNhHsV8Lp1wmIc6TGSs3dxa9tfJnbSwJF1/L8UoNmg288H14JxgvVFWhHmyrn0g2g24oQf4U7Uo
UJYOBtqeYaBMj+ZliCitrxvZFXrjnr/EdO0k2UZsFINzHPk4phb+PULuhyHW8nDw9ZtNQGdnufMc
Gp127oLqVQjXuys77Xc78UNNjmHd23VT7uSc/ZIW+J0WUXGccx6qvk3v8mGcQi2dvXDCZaBj3kcV
gmlFd4szRt7Rbo5wDxIDTOk+ijBdQ7pDeNpve7LHix0B35rqZJP0k7ORgv9JX5vFWRMDFFCLwOg8
VSd/HnAG8avmDs2xq96ypbKAilhYIppYbgCWZUUmCvfSTgGOLhOLJ6Md5AGS7S6ZNChrjViOhZNL
oJX1SyerR00H8IbAtjx4Un4YIjc3VmvY3GE5N19g35Z+giW3xCc/xrVojYn2Q5LtkINmBR8b81Zn
91EHiTjDUdLJXi3fpbTAyrEs2HJTwKHAZ32zTBPuQ33wkUelHXbeQKwDmaYpRxtaujdSpdN1AmSI
ZpHc53785iFWs5sCEzdTke+WKXbZDA98QcMg9m4c6Tvh5W8YAk3bhpDZDslVfZcnoAkrLUZoxazv
ygk9LBkxRRWubYUeknB7LR28TVek3UZEyYEYXH7OkN51ddO9sMa/w+yyQ8Y8fbAMQzvU3EhhND/k
ADjGIhWPkv1s7JBotnzyJgJeSddIdqx6a7LSZ2dXW/F0KGrX2KYAbELhIyeb3mIxOSxv5LApQEhu
HS97TAJxcR2/3XVI5JK3LvT9AB3vuHh6AOMXkROe4VBphqzY9wi/L71bIeeV4sWAnvo+mvWd9Pw2
hK6c76PA4UkSiXiHytOHge7Orunl+GwUhIUK2DeNaWL1FQR4lloIfzVROm0xf3zmp/KJsfg/CH/m
e6HhdDFbWy8HIxMTlAOt77U4mrQI2plRAcxnEm8J8Rl4rhsNbCCg9q7dDCwp9o2DgnmDEgTo8Kp7
anIoXBaJwICcfzuBoM8new51VtJ2jzUYz5+fyCyMF5Hmj1rULJtBN6J7Ia0P1yYPvwz1Oe0zcSpn
Hte2BpyrIptRexePXSbU0wveu1sDF7pN0xgoIlUR1LkInFImz51ZAvKacjQd4yaMEFg96Bp7lqFx
2s/CWUBB2FWBNZLrPEZBtuzhaGKGkUFI7ReNnfpUpAABguaE5WV/nkYxnNXRVxG7dn8uUqBTcGqY
qT3C7eDbD3OZ+wd+3Pps5Xp9dol37bulus6I/Z6RRFrOacGmLYCXtFFX8zuSAX0+HRoSjMjQXIhe
+CGh/qswgvacNeVb6xcEUEp7bI9LUrBFDmA1+/mMLHE/n0erR8vck3jhukZRhI6DOotZ2qdBWw3x
6sM0L+WZWaRkEzRFO6ev3twEVEA3xBXXJ9Qi8dkt7GqjJVXCXsqPzqpg+co6NMmuDmH3faTp7Xnp
W/SyRufQ8jg8t3oGdjFhWRo2bfWSZt0fsiv7z+9KHamvKVkctM/naPFRfunFIVrdKNU+Qx35a3W1
5uP33rZ1OfGmKdwpGs9u/AqpqeZBtzOQ+md3QVY28NI3q4xLYyP1Jjt13ULCfdkaY/ZoaEGKmz0f
jOSbgwwlShCs4KWMog0PqfUNNLehktdM43GBhO4myeaoCBM9ig5L3hxH2SCsUOKKmCansYOXqLFY
AwY7WWf1DhDzIC/sLa+k7Wr8Kix/2ahDaSQ129/ICpMOECVSIdC/X6oyYGs12sRrMKQ6A3QwzwKO
+ab24LE1P/0l/0ncxeebjdCQG0zHZ3dMHQ8sbFATcVK/VW1O1bldC1VVhY2YB3/z9af8r+4II/p/
jB69QO7nURBcLA9GPW4wW/5gc9JvpI0q3M7VbARGyuw4NEVAUocBcY3/d+WniKXPYRu04DOF1wC5
oxhA/O3nXwJPCTKAk6F1d1HeJ6dcK5Bzv/XYBO77ZHgso/ou4zlwRiUbh7S6+IGcXEygXELT6vGY
XcybRBuecLjm77ys1UKA0aQT4nR5ipqi5Nm9FHtjjB89smJR8Yzv+mur+9ZhWMMEuuMU5ylGJrJt
zctsYG1zgIjgPfct93Aw+OAli+olUDRI7AfKGCLlMJ60ys24dfz5KmYE2RxPk6yaiDMGiDc0Q36O
dIEud6exrIKMdeGrOaEFoznhQtY51CZAWr5lhlkQ288oHpV1nZ2DavnFj40/DaDVkz2WeGuaabdN
SJGZYxdcR7FYB4LKNayxTcoWYuu0srrpBaTGgW3URuR1GvZ5XN2clIwzQlaI9pcHiPbLlixMwCgE
n60JZVs8bkx/yd5B/beXqEztDZbI5VZqS3OXIZxhGZX2VvOY3XtT659yfIke8c4kJ+0s3R9TJg7e
0uE939nPnieqA7dAeYyIo79VZYRiQqr96CO73iBPO4AYFflV09n3yGDY1XkifsR18kokaYMDt/0x
xOIRQVTvdyGIpzEvmKXm3vKI5UsZp03Y6ti22dL9SWTeJxbAM8rTu/5IsOSJ1CAcl76BaEW0ZFvF
MjuZKM5vvcJejqiYLoeF1MEWlKa1XbRO7lg+bqt6TA96s8Y7AiJSJZHWTvTuFaA/doVieCrhk1hp
lXxEWu3CBCeZYD5ntV6t5JVkp1vu8iRH/aOTxns5dg3q5BAmyfaTh8GrJfXTAB2gsdyiuZw9ijQr
ILdmMw+pXTcX+aUp6vHirNG7GajvaLXNMRha7RXr650ILEKqMPa2UZ/vpjiNX0EK/hQYTd3bram9
WLqjYZ+hjzu/L0A2OlWyz9vJ/2iJX7eBD7ZeRvOFwGe8zW3klAYyyEcU+bc+Su4/ZDBaGy/zjBs7
AOvU1ok8SLhnz4ndwXonE/67RT7YCdJfLYbErKcN6zGo8nr1HrGPgTWIR6uJCG1oovwjr38jK5CQ
I03qcGnd4Bm0cbSPEw/CcLPgsbVky40Qw6/Z7E7LLLrnUXb+Y4+wRVKCZ8Zouj2gBM7jSOW/c97s
WeW8M3JpefhV/+xWI1WjqqtCDf86+6vtPy+hut0lUs95xMq0U0zkE/bHamr8eViN2B2rujpS882Q
6AxS9X8cfvV/DVdtqvhXm7qOapuNrtxaej2F7O1ytN/KsmZSXQ91jyUM4dT/tVqDzYJg7c81ILs7
/Nj+qn+e+lmKmTSg5mj7OBPNWRX1Os2OdoX4mKrbcv5fHfVqVpFDelfNZvzkGDq3g19YG0BE8ZNq
qwuXp3tqjwfVpgodbrqejNHdZ1PhZg8xj7GvkzqcG082av6fbaqjlEtLfmfVOl4v/tmWajI0jEE/
fbWx49wgZm/dKjs3dolfxwenRmq80hrnqte2fo2KIGHqm7ofrW+8FQCRn01dm85L9H8Ye68lSZEl
XPeJMEOL29SZpVX3TN9grQatNU9/PpzZi7Y6a23bN2FEEFBZiCDC/RdhdrQxIHopppnlUzDtkHgr
/o5AXJxjDCAvJEZgLcNOxGTvoOlef+jrlFiKnz/YRd/cm3F6dvnG3uHkyRRpTtIrzLFzwpL/Lkey
9Yy4y0dep84j9EP1qLDsYlgJ7IehHWNm+OpDMrY3xFCyO9x7Qyx1AHKDopqPhqfZmJ5k6McV8/fQ
QXaSC+29EdB/yNta/Ru9tfwQDnZ+VGftmXRzxxKzQ6axSMZ9g7rh2awLMj0qgkyaDlGOqfch6Xv1
o3IGAKNtsrApiCSl+ENhQRUYf8XlL6PpGlbKABq7wPoyD2Z5yODOvaYRIgXlWPwglj/dSVMd6N2j
l2ZXqUkBUTg4NVC/D9Jf2tpO//Csvr6XWh8VMxmm8aFtJw+cWhseiiwZXvPQz6HBRsNRCYbhVdqi
gsku4KhHqXm4ct5FVfYbGZp/O8wjUtVEJcGgLOeQItP/iQYrfJHTeOUcXVWsC3dbh77D7sFU6vQq
bRXv7X2r+I9eQw5/Kg7oJQbP2pypmHgm08lxgyU8wbAtbYEVvWQ5GVRpsooe1G1a/JRxXZqiYZ72
aqnpZ6nGU1O8TkTF1zPkWGDrAJUE8yogV+Cgz3EZO5e4YXxFsuX/gG7XLs3M/Fzzv27tn/sR4s+B
Qxr6Sc63dey16G0kG8fKJhv2KDgVD0gGmldjXPRzqmjcSZsUfaEWD+1SBLECnFOf5kXzCWrOf3Zs
nbVkdi6lrj5vTbI1pX7xsLW5cfZb9WpmP3Xk7dy6iR8KnZRxiFnvurW12UoLiKD2btJDIcO0dsuD
Kr0oOmCYVkd1PC5NzFDUrP0ICAQdfeYMJ6lqYZHhhtDBu3as5iP0/QXks8QKl87REGaXOAwBVS/V
IexKHIPBmSDVxNortD8MLwXfVphEmJeqSVL9ojcg99uhsz/GvB4uocKMTfamY5Nc2rqcDoEJV75v
befm10xK7ITonKpoISJpqf3u9DlLMC/8IjUr05K3JU8gtcj17XfDtFBJarMXaSq6gNlEVs73UgUx
Ze7xcPy7QufhoI+V925FvYIkWKQcLc9z3zWmRhc1Z1In1QKpF/TXmORIZ4Ph4hkGw53s9EF0vH/V
eaz7/TAZvFdl+awuJ01aprut5+X30hFbYuZ0U4czEsaFO2kb+PIcwwYVKo/1vReVPSQaPnmjfNjk
2+Tqjk+4c0njtD10kb1h6/PFSZtT6PQp2M8gOueohbwHw0tZ1tnJUzCGTodF93Kw3wgSWCR/te5Y
gMr6UJKe6FSqfu2ChK/7lGcfljZOzPMZ5TCNSZmLG87dHEF3Rkc0/eiVkWSL539BDhoLjhHxZ68z
z1KryqF+d4wro2N0tPGydEAF3Rxd96BvJUhR53740YxEstKKlBQ0Gv2i5YGzD8kJLFE+Z9+DdDlG
qdmdCGMtsTGX6Xz2NnVGvjf1LLh4+gHxUffZXvxgpNDTi2EqT0Zef+10BSset5qe+NHIcBQj8eqU
tYtiQIuMSR7vA7uEaqijIYhqVvG9zftn36/Ud5wMBXGzq03Pf8uIayUVc3VVqbg+kwa6aClkK1zm
GHZhPgR5kK5N2uhHN8XoX+Mm/VnarnFpsLF4DC304SamuHdZlf3F3Lv56ZrhYz9m2m9sNk6J11gs
lp6aad4xIc/JYbctcAkr2XmIK38NFvx1mNe7AG+MDzNurhFA3p9ahjCc8pxiY/Kq28Udyrz5qdCI
0+ZKnB/dIS5JekdfmfRV596FyBC2Xog+fdI+m31REwiwo591+F0NZvvsNdqCzs/dw6QSI8zjsMA4
2yVoq4KMtWf9ZY6H/H3o4oVdmIY3qaYVeqOAJu5h3tvPfjeRh+qGCq6GMT5Htbnwy+LmBCo4vjQV
GiGWkl+we8LEIbXrC0G/+mgutHJW5sYrU3/+/EwOkgTFARDUMVZI9JPUSnex3kYEb+ydqb/gOvga
zIxABkPtKfD1ArfvHNSXopUfutOiWZvlLxartY9+drWXttFPsg/pU++uw0N7N9q/OgbnDzN0vLes
RJ4fi4yP3jImXLQxYV72jQjBEWvG1XSpqegtvlY9kful1pMsfs1x4pUaesDla+Mlp9AvrY+2qDDb
zbOz7Os8S31x/Pqy1kqzemmH+WqqiYqshX5JqnR+zJaiVYe7OW51wjXUyq7pT72r2GgZ6fbjqGsO
a94p2xHRQTNAGo1lT2zxjZmm7C7Ta/tRHTT2+lM7H80o6hGsXeqySwoSmNg89Y9SWU+VVY1FUrUg
jJoN4WXoM8KSTYhhmmvVIYQhlMOkWix/gCSAzdEL7JmsBXAiqmOr03t21fnahdP7WpU9Wl32t8hK
HrO0/8ss4uKaEfF67Pvq3wIFTOeIr1y1/7RjUL3xQeenbH1bw9GMXTNq1Q4AOdIiy1milmDQqMcI
Bph+8GQk7ngKe8iUWqoGT7xJkATsfp7uFw8jaZN+LtZAT1J1K/MZxh1RhuX4rX2uGuSLaltBlzGo
mcr52iGc/BDGKUUetzkAYyiWQ1qSRF7aIpPREyGgADiH3b5nVv5R+lX4KDXPm/wFWokj+bJzaGPl
rAx2zEI6795VO9cfbHw/QIy0gF7oUQFLZXH8JpWwJseEXv18L1WtBcoBGS89S7Wc8vjqDx7I4eVI
ZDyzp3mI1j8sTbY17aM6DV6lZmUDIdYBTRSpRni/H21zCUQvh4e2Vd7gYtg7qaa6Yz3XUHClJr+v
DfRLamf1s/z2bMF5jVas4Ke5/O4FWDTpWnmUaom5PI9mjtuN/DY7QwYpRghqqcnZIr9/TktCvCSW
Sa1ZWq7ulaqpbzbJAgLJU8VYbRbNRbXJDAWYf344YzHt4iBwvgMgvqvZwpOO96mx5n+IW3yZiIT+
XXbQRUjKh2/4fPOpZ2q4w6OzfATBkV7KwvZvrTGHd76vRBfykPmlQMTzSc/iLynybL/ayXk1J/za
Hbf8lWeFjeVyMt60ElNjNwZ9Q+wn+nUlEd8QwWdhoAVu/JiOeQwSJwjuSJGe43F+t+fc2CHHCXyj
TO2Hdu6KeZdVGo83b2qfZk9SKLadPhENRSLb/+6g8LjvExjo7lCRTwuqHsAV0HM4dCoamx0sFq8d
7wDLz9e6qX5gm6lcLS2b3q2u4rEbnzX84L/gu/Yzn909CXqUu0v/FNrh76rLkqcojtCtTR3lBE1f
/VJascaktT1prm5/hPaZlFj61Zjn4WQoUXx0lfQuULyfTNfVm1lHv82o+NGNoUl6p3IuGohRsmwu
xlkIjY11nKLABPnBC43k20CSKJ0sFyhSRbLS4cVOqtE76CHppQogwGtRnInIx6T8MD1v8xjzF9SJ
yRJoX6s58C6WR+YT4Ht6rELkMU0HsNIAFr5pev/e+ubC+n4ccu3VUJsbRPRqRxYqOKkFETELuUsC
LyPxXpW5ee0YT+P4TcfxxHgpWtu9TFmH/OEIQLneE2dULppCXg1OU3WCO68jD+Ibt59APdTHlAjY
AX0l+5Db+eIjO1/5PCKxaQd/V5lbv806H22a9CeHxD3gbickYkqhmGN4P3rxzynHdHEc0M7FavGf
GRpM2eoeboBBs7f6sH0heaudrcoKb4GVE5WPSvcQ5KrxBeTnj8GKy39MVDDJBf2Ouq6C/B0SrC9K
xCGGttupiNRdce4bXtVCi54rUCpSk6KyWu0EcZ7g2NJDCr/UQbqM3p0PWeUVGRUN2F98ARtxjPFi
eOo1U32bSK0ePZ1ct1QthBQfsxgt+GVnD7rwbTAgY492fy9NBuyDsxPZ1aFxE+3N640WlCcAoqUm
TZphIfjWpslNDli+PleDLzNzl+hSaP6i9ll2b5MPpNWMyhep4UkVHFPXx0Jn2TmysiFf3d6k5ula
9xYpKQgBB0l6adPxCLn2Xm7DouEAKZiUnHg1sBddDghcZTomVaKCRqAHs+r4udPJPiw7laUYBwJ/
CqSBq/Qg1D3c/AIVqO2UgZveEF9N1t+cRUOxj7zpbYoJd0yWpr81PtZoeR3e0izkS1e08T92a6Mr
zdzp1Qnt13T4VeKJ+05Mcz8Z1og1SW68l2P5M0wQmpB9hGjVPeKU3gXEqPlua/gZKr03HKVvbujB
rcKmZi97B5VMD/br1tk3n/nel4Bh6im7eSEzCKho0asUiKMUxyrxi2PynzZ9irJdUHmId9t69DoF
Iygv30P72zynYWS8uUVnvCWzwqAPpuUq1Vjxuqs2Aw+RLtpgG298wCYni9b+eUMaeUSl9WIvh1dB
fQLu7iOIDretUjrnVYokbhjtmmG8OkHsvLZooz+OsQLNXAeAVpgB7Ggcac7SmYhg+IKWHGsav833
oH6bIxdoPAJs/vd8dfdPkSn+EWY/wChsU17h0ulY3DXdWpW21qwPtcb3TGqYmBbnuQJgt1Z1n6Pm
7OwD3HiSptGYSed1sYqtRxW8Sds0+zct58WQWt0q/aW16oIe/FEpent6KgGHPKxNsCBxtBq8neHk
0bPj8pq3aGfZk27uyO2SKTaG4FUKTw3PamHMj1Ibfbd5jGr3XOhplOznZokC15Wzk71FxFc+tXRC
Z00Sn7Y2w0t+e6rKR68vmxctglX228FbdGzUVyl4jlDw6MlWb22+OXzUkTreo+ijvvaBH9/Xmv3X
1iFhnYLyRtOctzYXu7J2XE/a9AOCFcgI7a3Rnu71KH5uRy975BuYPZJCv/WQIG5SwyjTVney6aXh
q9aa7fWPNjnMaoofdesHB62sMkA+ufMihVsTJXQgBMBQp61UFUC65GLq4ZDAUX2rY79885OS8JoX
R2dpy6KcWGUMxDzMi3I/Vb6649n3r9LZNPBoLVApNkzgP6WKHVbKMHsMuqh+q+fytSVQ+IDea/1W
JIjcmqHi71XooHg9DHdOZ/ZcAHaGwKcOJFJBSml2/aZOdfzUxO5VdkoTPmMawfvGu2rTUD5O5nhn
12HP/RyMj8Ycyps31h2ooCnIHuqgPOblUVGH8tA0Tn3QrGAGeOQ3J1MxnIc+gaIR936y2I8d8XH7
2hh+AR++v/fL/sHqAxTbQ3JS8BJ++F18skIEDxKLlU7BDMArteoyRvav2c1BsNVXtQ9gTighmG61
1w8tc5B9w+wj9/AX0rPdDEp4P0YKRFKfr7lk+8DHwK43waCrynADMfGh1U50DvggEOBWgaQDUu57
/U6d0ZprNcUguQA7yVXO6ah/Yd3FYAN64VAa6mPWpVfMqJX7qiuhx/aDe816CHCG8RE3Q8zyz2Wd
DNoz60P3bc4s7TaR0Sbe0RJMNIpdlk8tnKmdOuKkizox6dsJNwCv7JNdO/ONZDH8oPYvWth4z4sI
3wSJwZ4qE95jYNybTayeFIxRdkX0ZZ7ndzJCh6jVylNht+5dn+EGQyCAza2YBhTgbaO6Q7TsKwiL
ERe6tj+VToiPq677j33+i9OEN+RWjB26z8PeMQ0yt4Wi3WfMVTNrVF+MlDMPVTbfWQjOBiEgkUzB
cjHR4eRNyaXRhvpWd359xD5yODSOE9ynbj0f1Fb/Goz4B4CY6o7BDEVDncsXC/jHS6WbH0ocVZcM
tcZ7ZBLBlfBNOaaN096XRUGURB/gb83+Pqim/h4gwaWrEWRs62Sf1+XZy0bvmhtTdUiZN7C0MsOd
gZvWvu67i1UtiMCg047mYCcnAMI/kGr6vpiJXkyy5HuuVr8HDtftUWcjgsdzYzcKcL2kbe80SnQS
gGuhJcGKvTP42hs2bBv1R5XoE7w6s74bABpclSXgYTQvMqPWlmk1UxQeo448SBoizJInSEZEQ6t+
6Nn33lYe0xSeL+Io+zR+Ab38z+wa1Y38m8qXMKnRXFNvU1FpryYMD5PHnnSvXQ8J+Bun2ht5GN13
eRXcgpEZRqbx/k4hvjxpVyK3NyxPb5kRsnJ6NCmc6AOjXiaYCTFUu6rrc2hPP1xTde9HN2n3hALb
kFDoCnbAW43cku1cgz7EESKATKPlmJYV9RIp+QoRIN8PcfSryUpcsiPzwre8T0CsIG9Vn7ig/9Qp
FjEjYXiyD5hytJX1TGBE38Wgyw5+3Lx5bgPHzG1wf1ON4hrWjIOxYu7noW/2ZUdMoM6f0TRV7/so
0u7bpXBMDCsdSJhpvgv1wD+aHUi9UNNZoShOx9hrNccgSdw9oKxTVAS/FDIPKDFEKAoRyvjZW0P5
pUXWnI/2pcuxsXNcOE16QA5EHaGnekyPH4IGIM/8woqk3ZP3rErzEVvzbIcbwEcaqyF/3rEWCPVh
glz8NHoE2Gu9m8gKB68Iq/D5bCsQSr7agcM34/sR5OUO2yxmFSwKu0SFw2O2BK/nNDjZ3qI+W/W/
AtfPECgzgDe6egqIwcwBHvrncMaqUYcwv+s0qEzt7wHSYATs99h4wPlq2yHq7OzMvFX3CE0XR7Xo
QCh3CgYsmqogH4leTBD4JBZK922qptcxtJt7Qo3Zfu4mRNGy9gn28iuR5mZnoSd/9SYdFKjuW1fH
dm+K33s3JfHdm7XgdKq4+9643n0ZMcyajcIwllbVZUZhCQvVbwNA1HPVdd/wPjDgBNvBUSmT6WHA
q+jeIXhcLATiINXfUse9A/8wMcsefa7g8G1k1U50IwC+FMdH3ej8XVNAosjiikBFG5hk3UrrUrlV
sbMSuz0DXS8AxXkWoBs+BifIzDcnJymlF2huIR37VlqdS5Sn0A5JHJ/LqTXPfV15f6XeO1ymTm39
n7NdH+C88y31FoiM8jMy+n1uZcFNHwP8ESu1ObBS9y49wLOzBQ4U3AkpKcVn8dZBuHesgqCHah6Y
Mz54ozU8pwMaRQ41xGSSY2sG73mm2HdbUQ2Fs1ZtZv5Xu4Yihs3Xo+Uzd/QGCxyjmwH0rDzv5Ae+
tw891Nc0hr49S+adrga8ir5p3M11TNqU2cevNNePeZBMN3VGvgmhqBctDn5bi0MUVJ17dIvlYWR1
xod4KRbxHDMftXvVrNuXoW+nxzZeRm5qXhm0L3XEVLeq03MZOGq4Tx1uI5iwq9Ky/uj6lJmHFX1J
Uh2dQ7N4tozRPo15xPp7KXz3YfY6eGitFh+b7iV1muQWsjy4pb4THYwCAgBs7OjOss0XPTBgb3gj
TxR2jwOIK+J78XFQ6pcZg0oCeyzOukXgTMsuggGzl4w0VGFgiaa1eF2BwPxPoXTki3q0TQsPuwwj
RFLLL0FqjJnXEmbBr8FB9nxJBCizftR9bF0x3IIjgRmoB8c66EFjTcEwseL0OZbQyD2C0lce1OKu
MadnNZxHqB2+fRhRpdlPSxWZgmnfm9wsM3UBmjlhCq+kQ3py1kAXeWZxByLjMkwwUoArPXZm96K0
+D/lZpwcdEw0571g5sKFwG+BPzs6w5TDKZjdxzHVNKaCXfbkkZq7xU31ZQZu9IHXBmjD4ns4ROmH
muMS47W/3MLn4ZYogbOECupZZ6WT8kA5nqs9SDHxCQNg5SkHX3qjAY69WimlAtjTBykw1bl5k9Pg
Wvke1UF+zeKSIXvsnAOG3cBDSCkAgivmfYFiWuQUNu+FvTcZ8h4GDUpvDVAA/7XhlDT8PSRH/IeY
AOslmcMvIVJwiI+eJqzlDo4zQnBf8EYAtA+Jxt1F/zdV9mlf/8O6pr1rh+xcjzWfSVCBiYOltZpA
Emrhcdb11Qn/LvLS+IqEPIqc46ueBNYlHZTXmSDAQm9Vz5W5GA/E39TOuMTeGJKtP3jx7F3DyHqM
SaXtUx1ZpVbNEf4zQIzbd66pT/daGr+PKqvUsAqQUQyhDC8mTZWPrk3S8PeAAn1ZFSCCrO5ONglv
sFylvQpHpNM/3eBob8B2XaSxlYmFgMk4rS24+jztm0OR2t4zLADnSZ3eZxB8zwZgBDsPmlMVJ19L
JgbIV0ZAK0uSqVKdUz1jzldmADQV5Zx0bsj8yUiBv1iHPOiMfVUW/QV2RPHemXVzGWGL7KWqJ04D
3ri28AtVmgemy/w/bWcf9DL4NdnKdC7idL5D+OO5nwF7m66dPAVIuTwFjVaTGUYK0+md9GjVdnUu
oYEbAewMJUFiLuPnLUwNd0Aq2AlJMhbBzpnH7Mgq+skgzsEofsiypy4ELPY9t98xLWuv2YKZKRdc
XQjC4mo6T9GCG62NSb0CjAgXJKkUkx59URTDP8b/aZJ26Z4tr119KwOuq9dCp9tlRUopQM9GBzmt
1VVw8E8TjpAXK3yPG5AC/tvYBOkpgM5rtwbcomF8Q6gcdUM871ZdDcEICW4oM1kwuLGDkvciuCE7
Oj+FJDn+mNwmuIHLsuYjk1V+iWzKG21VcMkuspnMRJBgYfHvDXUB2tdtdRSESuU8LZBC5rLZreiB
WwcNXg/+LlG0JY5AawAW60hW5W9HyQ+JGuCQ+8vsB1DMy4VrljPK1oZPtLVEnY8CVZTGcc6m7CI9
I6flyiCLGPx7fLucRHppoTrtbCdLD/IrE7SmScAifLa4+p2DRj2Lwojj7SG5D1cwnD+75f6NZuRc
ctSoJQcsRSLXXzZjlsiktDC+k2qWVeewVHT8Z5bflIP7DPDOuMiflJ+B83IYVQPiJH119MrylxyX
jgEc8+U2rndYGgUvlftkXayFNLq1jaXenZFawZMJ0MeK/ZWnAdotGepxSsejqtffBQ8sxQCMuqvh
1xFPRXIkqwYbM6LKSRnj3eYoSe8V5xWqwbce5uLRa0LuqI2E6KlNmje593biPg3EfU5zbTCsW0OE
3h5Td9JbxS11WP61IZpt200DO6wDoW6Cg9wuuRuyVeLxmexkU54CK9R98srdziv6/Iavowf6TDaX
AiICz4ZyrvB6Z2wZkhkgAjBnrIYxAv1jU452cKQAiewa+W3dnNMeNJQdXeTvjU1DjLo5xG3ydR71
m1y59SpBLd0VVjod5FrLVUnagvV/qyG+smAA5J7IEbIlbevjIHUpjBTHkKYLgWgi+jh0r3Lj10dT
Ls32NMiemsjnrgLDfpBLIT9S72uuTxsU+p4IOrNcq/rRLrYhyF2u19fMnX4GeGWcMmYDPHVvWpW3
MG3DUz5DdG716VVfhg75bGex7ZznYAYJjB3fToXOiRJug56QleTF/+8P//EbZBPbK8jueqivPde7
h5oMDqW9oR9kCJDve4fc+MUGkDW+pnB514u7win+eGv+AFV8voIGabwigjU5NycjzLX5GLvhN6XL
1ON2hRkEb7rjQuneBhe1f84wsTzJb+n96im1Z/WERmM/75ssvG8HXQHmsYxDy2stR8rW/2zzunJG
OCBMDvIk9HF6YgrD0mV5EPQRaScTjvX2+Cwd7Gqmg6nvByTYLvIEj501XKbcYllSHXNnwPjIXcCV
//Pv2kV69UOwwl5uAFdYACnbszfHD66+ABiNwq4XeRuGt2VYlidJqltbQfRnGZEsfXaOvlMNYFbS
ZydQGCOlvxTb2/rHI7puyv658oaL15h7eRLWQ7AVOCtf2oYEgYyFLNibMwrd1+0N355laZNqsDyF
at+fGkB659CJTrLPlIddemzHf34EpS53TbbWY6S+bn7aL9VPbetjW1a2/e/Qg60cCf7UvAZw5XYp
8JgiBeTW2yCclw+H7kE0DXQWqpN+woeCPD3zArnjg61jDOo85XP74jA3YH14rxOxmNUCj+3kJQeU
MtTdnbVgVeexfMkHtzuZ5sxUotHVgxoUxG56BGZ2JHhPwjuY8sUu0pyH+hBE5ZODefF24+WvSnV9
nba6NG6PyadDiiFtLz32g/IwSlEvw7Vs6Qn0JTOG8yRXX05SgGecwKzw2PU+tPq9vCWw2mmVzT9a
B9f4K7cQUZJ1y4Rr8BFS3d+2cClCLlgXK+mVODjUkHjBN4yJ/hH1wN2RMTnKNZZCbnu8TE8QymWN
PKU/8km/ebGRndR5vEvMEoEyr7vIIKMxardwdkvUcw9hEaxfAKP9BSk/u8oJ5c7LFiN9u7Bh7Gj4
NQ/eM2Zx7opZ9hP7zcfz7JTLE7ENBqqmOleO236f3o7aoZ8g3m9XscwcRtJk+cxkbmYdfAu6kJBK
4AX8BS7ZYCbuIT8qXcitQTkx0EUZNeu46pjJZAu8bnWeXOc6Acwhn3uGHolGcWTvMxzD1tnVuoqK
tKAg56Zr6yAMl/qxNhLjJOeX3+Xb0Xht9afZyNuTahovcle3Wytbedf9jI0p2o1FgdI/FPJ/F2jb
wKHIt1/q68SO5WmJIw3LBzD+Ry2zc9j5bT48IMhuXoCmVTdh7QxRV914Fv4pwyxb76/ciW2M2W4M
H+jfKfRMc/LqgwVBGlkMx8DhpOAlcBnBDygEHksumdwZeawDldijBTzYL/AN+c9gLh22EX27k+sD
vYz320XY9sqWdPm/n4q52gh76WEb6uXHSHWdi2912Vob5wjbDya0CDPIRFfp7IuKx6J0kT+7Trlk
E4dNXrV1k7z2v7D69UMpv/OPWcZ6bJm7e2AB9yQEscfgQy/zV5IjhK7lNZkL5GD2wWR+Q2uFeHLY
J5eiCUP1KN3XTX/5gkaAQbogXedx8qTKjG4rtrZpzkg5aChFasDElkmY/DtbsaIkpf7HXHb99eU8
wsR5GAt03Xq2G+DpJ5ss1bxHr7cgCfXDlR9i1jfd1dWrTMtkUidbUqynXqaFUiURhOZ1AAFk6yxd
tqpsbcV2G7e27W98OjbKPzqEOhjDGDNl4OwAAuQXqcubxxVPWMYv+9cfP5dasYuUQf1jGim3cH3y
5u8BRPurPK4RSrqAppd7EHYdkhvypPz3TTl6HaoA5TQXt0wPn6kgAUyRbQn3iRMiBA/Zu+3Y1oCy
Q4qtn1QH/+eg1fl1/fXLk7ySPbZ3Zp3PrA+ztHp63pE/+c97J1trL9n8XJeD1rP+0evzH/h8lKKR
2Gjtd21GalbGlW32IMf+t7ati+xd59myuRVyP7aqbMlx//OsfyxnpLd0/PSn/lvbp7N++kvBMuBj
NFd3IYy+5RXHw5lcRTWva1V54aUglAI5ExoRi/clzLYVW9uc4QkK/Y4+VWuwuXaS4VZOvnX9Y49s
+mYAQogU/PpEy8si78n2smwv1f9s2w6T9076/be2/9dT+XO+kPuLGLTfeHBxaGNau8yF5cO1FetK
dqv/Eav4b90/ta3rieW061+Q83zqs/6FIfHuNWX4R+28cC9Dg6xBZWv7RssYslVla5uQbZ0/tX2q
Sj+/RzCg/6nVSCIkhQ2Rj5eT3DvTW3mE101plfpMKJtldVZlJ90r3rbhHTAVtPGtrswLjVzqMvIz
FwqIKFmZ5a6hIz+w2nkvwwPRfyRZG5SB/6WrrYOGrRJDkNGlKGdImIi/Hf7bcLs9Co4s+rc+22Ow
tX16XKQqe8egSQlZuDC9BnU2D52jp/Ne1r8JAAPCRcn4HrRDdFrfeLkoW7EOq1tdLtf/rMqO7dWV
akAg5d/hW+qfziBtc5aAndASXqNtsF8n1ut+uT/bkQ1eJSzesqtFYMRYIiR/rBy3bnKsFDIx2Kqy
9amfDKJb2x//uOz5dMjgVcpxNh5ABT7XUClwDZAeRMoNDSTH8uEqccRr32To8rMkyy5yZcqkz7PL
rDq7JnOsi7zs2x1d3/0/gpl/TBW2rrIltzcqeiJ6a6c1yJU7iJ4YcYRMio5W9jB7JekY1Fy06VFe
0TVOKU/AOOtx85e8yP9GtWo1OGKdTeqkITmY59k1QSIYljikNSnqhmzlbqv7VqCgfxZau3LRHXZm
CwMyBuQt8mHpWnA2df9OONsWCYBIRbtGrqrclzqDyqRXxXsZwzMRPrm+3OC5RXSnXeOZny6/XNQ/
btG6dF2vuqxZZHN9zSOSk7NnTke5yvJnt0J+wFaVC/upbV3VyZ7PZM6tp+ze/iU9DPW9jbXeDhtD
rOKC3P/SFfF4NhACPOowZqlCPUOAtLjiM8leSyd3ZjjI9Cx7PQ+Yp54keDfVwVukZWdtOYea1NlD
GdTtTnrNXTZelLk0D2qfAdIbhmLXRLzqUniZa+5tD4CnBqboPk3ckxqFVn5EMgjDZVb2R6KSoIYn
59roQfMEJ4tcM6KxEM8zB/eiWL1P/fF9QbS/BsjAvsK/qQ+oxo2oclCVtgzBoywhPVGPqEDEdpW+
xp6DsqDZPUwxWggOsIWTTm7/7Fn+/JxWzU/4jpfe1MovY27iqpX63/KSKXmND/zND1SQ4lnz3nuz
9d0jWk9m1w9IOGgt6jjDsAuauv5az2B6WZKXH7qa2nsUdYBXRch2qcViC2ASSp5zq0K/SVUPFRLB
KEOV4LgxYqwex2UPoSTMBAYcBcJEOzeFXT7OU1I9ypYUWVE46J7lOcLCBOGtIg4OZYX8kD8Nf5sk
z86tukj5ZWplYEeCEsdhCQDvXJ+VW1zEqF6rED4NHyNRFQXDQ5sVYIK8dmA93BTuDaQG6TWPYHuL
6tfUT9HzsBQQXaJnX02+IaupXKWpzDDpRncRVa4C4TPDIlvjBM8NatjPKpnQ51TRtP00jgErCHbE
tge0KrW5ljmWonjI7qZh6B61pPOe5qWoM2B7Ns8W7Gp6bDtCPUv3WungijaQnTEnzObGUUcXxv89
JdH8uNZAc6D86/DMbcdXkeU9oTIT7auw3aF7ahwdzTIP09TkaLwBpi8MzbzZDlBnYK3aQbf1pN1h
BY8MBg7gpReW9xVUu/tmKbYqz+c5KYihDkgb2XDTSv2Wz2Zq7DXT0G5SFFPwfxqLvlL2kwfL3QtT
gs2IGrz3PoBR1x77v5Mh/8sglQ4uHLo/75YJnxlkImiFokIlpp9/k+78GuaJ/vfUJKAVEMR5D8YM
2DU6WE+zRi7ZmhLrrnLz/qb3cXtJ07h45BZoUP5b9bUZFR6uLDUfVKN/r1ENenCj5Gmwqwbqq1K/
xj2JIwexx6NUZQep0A/k1/NjPe56jDt209I91lJM+WKwXMtxZLBpchRot4wZhz8OtvJv/x9j57Uc
qdKl0SciAm9uKcobVbW8bgi11MJ7z9PPInX+Uc+JmYi5ISDJokoIk7n3/tZnpbN+FIeqG125WE64
QxyGU2cGFm3DC6fyfn5BGyRfYTgn38ettbm9a7p2nctgbVY+Fst9kN1jVDgTtC8a5sqmfkRo0fxC
e95fCB3vxRZGu+0vTOsQQ2UjsKalh2iztPLfH0rsB9mGx4VrIIXayH6IWCyrEgq6E/y0/lQPhJXL
FNqJ2GFBstiDwUyoZuNUqLrUboFtKiuxKU5PlsrLq8qiJmw5P+Y4UuhSLQO9eGuOX99/Tprk/tYs
ajRny/mDOk1FXjY5+NNzzYyDDjlFrIpFFcwo3H+2xdU2tiAk/2oUu8WeDnGHN9xROEMFXjC41HVh
qVBWPJTU+qWug3DXm0MA4z2s3spyI/bHQ1hvUhVqUzVLFgFrycYtnHjgvgmi4NQtiyGBe2Jr/vav
HX2fYifzFPhmvEbCEB/LMcPDcFmINdGmM8vGssGEqBYrUYPf4P/RUXzku/fPp7sRc8D/z0dSe6C+
Qla2/z5M2xVAbm/jpZSJBq7+9etEb/ElU1GqzSltFx0FaUfdaFHAQqQ8R8siBzBxFpuT70MsjPwB
8bocE1xfdpcy5HL3p5NYw0HvyIuvI4/Mh2ObqEpYVg6eGJMkHawng1J8yFJi778+KjbFF7dQR3cW
IPDvj4pv++sTmaqvu5ICjX/vWH7VVMaIHW9zYb6k2JNSuTTb6bGdqvRojxEFJwrkzS4jzyiTrVgn
Rajcy2U4nGy1/p2Hinw/mIV8r4b1peMBeyE3jdIF6CBvv16D/2XVrXo0KS15sjMORTKnPKfQDJ6i
SnpGjxzciZ16GZz9IjavYh+VwusUQd2vfOk51k/JoOgPih8Vj0qyF11452T3ctMgv7yEdTqd+kBJ
z+OyAO6nDq6e1KyazezyzKYab9kUfRCaksjx7T9yMuBeahO7RLmUPmVODUdb0dqV2NT6ZthpuKZ6
pW5AxHdNo+t/YWMFusgY1XWEoPKp6bFFkNHrbRd95ROlYKVnZr6+G7HMvJbm+EAJTfdqlO+z3djP
hmS3h6yMQCeZavfazBRSyJaRX4HowNIN+6/AMttXSrZUb45xETcb/0Gh+AyGbTtQ78laHLbrGWtY
9ML/aUIW+c/Of7WphkVVbDafysGp1/i1lRDmrOIhkwzz0KTdBHO7Lx5UFNO/sH53xU6JMrYHKjCe
UfLKZ9Fk+g35BXsot2JzhCaxV5wpWYnNOrb160yWTmyJI3aDfJZhvakooo/BNFOXUBihdqxhxSCL
rn0obGZ+Jugedx61eGA9QcuuK3+wDmJP3/rOWlcGg+sOt5PZ58kDMCZ66uWqX6HxiQ5i04pkkzKF
qD+KTRMjInwgVf8kNmdperd551/E1tRnV57X+VWLqe/xx2AXRoN0S7NWPkc+MuLQx65qyKsrhT5r
sBP9rXTaxyRu5SPFCsNNVVtulRiqfJXYJ9FBtMNF3JRSnV1Ek1joUI4iEwFD3akYrha4x2ZmcBPd
Y+Ro11y/NU2xsTu7wrCwXoMxL4/mZBXHqEMst8CCy6Mks2i6ygYzK09e7PRAx82ouQsVCyvwyXiA
EJa+ykblrOFmljuxiUaHknq1eCr1ESSl1lNLsHRT+sl3YfpRVZOPuCvLLYXiVfpKFXW2RY5vbVRy
H6+moR1zWzLu9TCzzmViUGCxdGsn+c9EteSeV5tyZlin4EbEmr0sZiX1V0TwGup3/9P200WsGVL7
p+pVZfu/fV5tKYDpzPiuHufmMkoV5dKFDfqOqi6dN9GfXPYf9XEwnxprhA+Uq8UpCzUTsnGVUhE3
zM99Zd9E11FLT3WkOS91k8ueXcfGOS0dDFjqGloKXNhH5EgfEvCrdVysbMqGTnLJTWWP8XunUCBm
aHZz5+hdcJBMK9lGaSjfQ1WpXXF4a36RS6f56MgbUUakx3AYJ21HzLaEulsaN8eEOc7tbgG2VHI3
yeoCMi6MqlPJM/VklqHX+2p8qIGT/7Pju4/YXf60oiOh+BmMvyfPgRx7Yn9I3eNJHC22bBrNCjlh
Zen7702xW3WUZNxwa0ffPQNFvRl6Ymxlc0C7/XMIw9KPJuXlBys0pHWqFCq2VIO1M6j33eN105wU
Tbc2ZpJN1wkfF69v5eaRu1Gm9Me23hg732DzSF+N82APCUPSsTA2t3uzLfQPNInAInWe81x93LRZ
YiFSCeZ1XVX1JVbbeqdr1XCI7NbA3dcvsSXoLPhYFKvy4EOZqZZgsfzef42D8TGJdOmPRKXl9xdl
uQIqrjA+p3R4DyXJelHMJoN2rMz3oQkbnCFKcIeE2t5mC1Rclvz02KexsSUckN7ZSIGocW4M4mc8
yEx/Dl95AL8hPpQ+1QAfZKqTGGEzCE8CW/+TQUZWu/4hwJqjaX/1HTXLcIqbB6dlTtj1lXJH3UZH
eQ4OS+iuLI/gmu/vVFXDg2q0FqSBnOIWp3TZUaxZVk0KEATCuUvAuuBf80uxBuchT50XZYqls947
DucAfG8dpvVBbHYa5Lnciru9GveAqRTGZfuupNStaGznMUCQ7lZDKJ/7qvQfo3p+VY1AvYiteakA
t1TjTnR1FOsYKYZ/FVthH2zbtEx/6YXqP/ozucTCaO5LzbIe/e3oZ9ZrzKty245yu7XaIXgr1G09
1OZbSUUWljlVvRuCoXjB5m7VG5H9i3nkCZOH4lL7EvD8APFG14eK+9227IgKMs446y5KlnEL7Gji
JgK8pkXaH2F3aABTC62ge/zp0Gi15lVmZ2wGLAUv3bLgwpi8Bm9kT2yKHSRsi0sz47aFZfWRYie+
OegqqhswHHWJ3RUXbVmYoHiPtqSdc6uafxEFeOnKaHqboqXQo0XPAQcK5F6qvsTzML2NdWSsxqU9
Wtr/Z38b5NJPf9/2OQ7laasmsAG+/ef4P+3/1/H/Z3/xvWo1oNx29LWeG/FqYMJ+K4epvqmWrm7N
pQ1cRn0TO3Imv99togugyOZWLm3/+ixvTnBWkrONVd6JYmEsakunauQNV0b2T5uMfbST65ufbmLn
GDuOW9foDYLyTspaA8Ekmq9RqYdgbXGvez0cGy8bleJOLEad/1fRP6mu0lRrNUzkU1AhxOMhJTYg
tMundlmITVOTEN1/b2eV1zNdg/X4n72i/WdTfEK0wbY75hEFbT9N30f62U556M2jfVdyut577D8g
kjmvCXomLqoy3zs+WlJ1tH5NZu+8awDoiBY6w51h2xiOJvBWilSOyL6iJkZ4vG9KaaOpzvwMkWHY
dhxVAE+fkGXtxXeEGeV8fdUaZ5ywnYvfKSS6lmNjXnGnctYeqRsxcB3QtI3atONBrUOY3YvhjnDU
+TbXMcICcS6TL7FDLHpY3WubIiuU6L2111O9BK7T+rfMSqQbgOjOU3cONmLJPMN00WDHACG3dJch
CLqYeKy3UpX1WyZ/YPG1r0pv30CMDM9RjBN80rX9XdT0yk6O22zvj6l+CQMVTwypnJ/SMP2i6DD7
4sMhdvAHSdehY2H9e8NPZquNXXCpiqa5FctCkxkehgW4xKWDpi5SpIaSDaMtL0qKLh5ksrwenKK7
iP6iGwZPa0wjJwzQgNMkiyc7JfN4yfbJLQDWga9ak16BDmEQYWCMpnXyuMEHrb4YQZdsK6Q15yRD
VKGN+nyybCqLUcebRysbon0Byvjo6JGxJ+xRHJxpHg5ZNY57SY7KY6YVGPv4fXRKGh/E02DZp6Sc
8HqtCZJEXeJv4raVcWCQ643tFCNCV6DLAKD6K/mJcp3GVnfzoT3BDaZ2kCcO1UBV39/PHVY/mDuP
D5EBHrnT3b4LCUoFhfzYkINehaOsPY22Dcsb7ukz3jO9W0XTePbxoQJBnadeNYURJCz4cbybEHz4
6fw7aey1jx/ZC9nrBq5NtGjt5+ieWtKvyJTn31Ki/Sbwi7zcCAiUB7a6yVpezv6gb/vlCHaMfwd1
YCUWDyMTKnMC0kmJye+CukS1098dag2YAmbDETbqeK0xUl9o/DPQtfrsGFMHCpk7gJlRucsaBZAM
8L7xEkNrYVA+7nJdih58ybEuloKaVhjBh3qP5M7wh12fDtOLbjJ3UpTgwS64U5QpL8AGyONLRAHg
OiiHfic+pcbJvtYG5ZBbyuARSywOKIJipqpLZbDhYMjht+53kz4BRBRdxNpfjeayRzT+e89P9zET
fEK+4Oc4oq2qbHRoJPBWGY6BF6NssXJspe6pw8DyMPpyBr6CU5LB2yZuOaD0WDYh2jnrqS3wuVw2
VX1CtKQbxV5s+mmtuKgTYxeTB0RypsWkYFmoeYjfU6lP5XF0kgoHC9bE4qePWBNtOI3Tu1EpURpy
qrH+H5+bAUaVCNT/x7HF5l9fbeEjsGck5P7V9vMR8f1jVM6HLH1ppjB84Jnru0VsGXvVR1vR59q9
7Fj+VhtCaTXn/Jstp4ivZlXsxJb4kK45922XOWfDkHagi+aL0zVICtu8fe5Hq3K1wQre20B6QFDk
fOqKssltHgdwwFeBkqsRHYDydln8RTDjDjpI/LuK6pjXTtO+LHb3q8ToyjNx7qMMxP2MUKA650oV
bsCZzm6iy9X5Z4fYywDrn346ljxFa63k7okSGZyblyOIj4iOP5u9OVquNdTkLP/7S/51aGlM0Aup
/lNKjSrAzOVLfg4gNtNB3pH8ig+ePUjWqRsDDIiwDsXxRepDJCSqddUhOV5Tc3n6KgUVBnpof7eh
9MVSKbV3FqGCsyVjXBLLoP6/N5c2nLqHc7QsRBslmMoaXzSyIMvenx2in2irajnb6AOuAGKzNbV8
HYGF8bp4Irxf1b8jhAtOIdevSjAhf+vL6ckqmbTXU+Pf53Pee5SK9Te1i6FhWmN2Z2tAVWIgbufJ
6IddQVUtBMeImn1sq/ZG6sAEWZ7igyVHlzyVq03GXPcqw9olYkD0OjVqicB6kT3y68IVMW/7OTEh
oBizrr/hKfriN6n5URr+QSaQGUDCQdeU1AlD6ceibE3wfQQZSGh0X+PknPw8Lz60Jn6XdKLUPC0p
oKdqyDB63LB0UAsGSM9szoZHvx4amOZMIMTe0QrLY5ghBRR7cyw8T34/N67YG6dhhuclTDmxd2rN
9FJL+luyHImMR36X1tW92BfrNjEnQEuMyaO7spWlS4yTEOuBMUd3Yk0s5Cx4nVW52v80iTXcUEMv
xsfn+1M/e2Urs7YxiShXtFlNCG7SbtCdAgdd/fT7+R55yM6NXpgHf1bpO8e4UqFEuh8TpyRF5JM8
UVLl6NidcpTRUaFZj5RtOoOKETvEYrShBq2kpU8tSVO1+fmM4ksf5VxCtvvvw/zVxbBiNGTi4D9H
67HpWPXWVHrfxxW7/TTmK/7qOZuStMIOS/c000EIthxeGmokgihY//qg2PH9leIHhpnsbxxdf/pu
08Qv+PnyyUm4BH2rk/dN2Hr/69/00/uf4yqfWQC34fs3LGdBrP31Y5cf9/2bxJ7vL+3K7C4G7IpU
fGu0tnwslm6ig6/XhHnEqtgjFpM4/WJVtzvQDcNvh4zQWeqGDaMN7NTG5twkUbWqMbAIIqRmQZO/
G0UzwdCjprGX92boz1vL6f5Qljt5KWBFOfro1QTrSN3Ej8KBD+YM3T5M2886850NY6ajDcI0qtTI
U8xpQdk6H6aERXbcuVLNgxzQrA4O33aIMTa4W9l18sQ8c4cI71Fvesftue3gekwPtV9RXNw9KsHI
wZD5QcROLr3cnKwY/WVF1RMBnXVKdKvQ1fewGE4SWc+pwBJxAsFQLgm/QiLpkKD33aEjZprqJMdI
Um51m0hXOWbKW+JndK38o85YBHu5pWkYe2RSaXL+blMwcXHnYsj2P58KiOR5WQ1yCd9U6Sp2oEF7
b2cUV1XbI+Wc75vqvkn14TowEGqtGhZ6zpR8mCkZAV4W80OCR6nEZAWHHGwPqs6C7NCO7ojUVHeo
NzTSS6+MOIAtiyn1b/WAjj8rjlYwGFT9syiIFq/QmI0btYA1JtpyCAzbGZc1Aqb/aetmBhIgTdVt
hYteYRv+XbYswFE4pVVdWxNcU9rCxRkZw1znZRGlWrmzJ2tyxSZPEO0aQ6NAMNR8N/20N6b+HBmt
dhBNtlSpcMnGGbvQpliLNrHQVF8lTQSzUXT5awfEPG1qvr9YNBtqQX53KvK9+GLR5oeDazqt5rVT
TcZ6+ZFiZ5TI+dEwARAuTQZh9YtlSd4QhPGtKNcFguBrqyjRjZz51xhV/n5QtDMg8vQ0YlZ1FQt7
hvUP1srY/LSlU59j4gaZP5GlWELS6Gt4XneHxEiMK8F+4/uzXWSu58LH/ShsG1y0bCZtforH0GyU
9vZ7G4ekalMXqb6izpf9YWmox2XwHDf23ewwOujnilxR1elXx0mkOyM6BsuGFsX/LEajfu2IWh4m
PV2mheh9cP+jMOOn35hAOUpnHr3iQJZcmHhXRFcM77pLWUze9xU1l1FArXHrQkVu7oo6C246QbKb
Ghf3pR+MR9FNLBiSqS62QOVObIq+CpR1z6ioHBefEm0oKlIkCcmZOdy4cuTAuaa55lzhcs8HTeve
Ar+GErK0q1bW4yQVu35so/wX3SBg7snch2fRg5HfVY4U7RjNXH/FFLU7KXDMK2JR64qDWLVWQhsv
g3G2rmKH0gL3lEuSM2JT7ACYol+qlAEjzhsS5NiwJZWsaas+4vmb9Mbpp29I7BQzs8bapmoVb+yJ
iglwluGtRA3hYc+SrDULMtrKait/ozka5HD4LTdQz9FNbxu0oVpC/GAkHmprKaZCi5eJWDB2mXHL
ws1TnUdGG2WAHZ6EWYi/kPp8wMP/rC2b8PWe8xYvP7w1HOrvFmsVH3Pog1jDrjkjf31oF5VQt5Qw
ijWxGESh5LJgUkvhpGgEXdttHZWM9xgDfCmmh/C78Gqp85YZdtcvsjoTZmmZxS7Ch58FY2SkDmI7
E6qHXs+e9UV41C1Kmnr5CXgToTwyhf7IqAC7QYMkKAB39yAWatWOMwZH9cLf+O9VNXU+okSFgdHk
YB/F7r6fUYiK1RjsDMj/JCbNATifpB2Uve8zZk9YkCRwRmLbJIUozuL3bmAvxyUqs4V9gt0BCjPk
C/pamjQJiV33Z+r0Tx9aRFpU2xH7L89Q7gN8HQ9F179YnNZjhB3YplX0t3DSnfW4VNUmHKZwjjxx
srX4e3/OtlgT/wFyWOFaDzhXEi5pR7lTvToJ9F2LUdvB1IpybzJJSKq4diW52w66+ZjyVxvGiEIf
UYfMf5hLQKkZk9sA6WfJ8OIaEfMiSsuXimtr+WeJtQxow7oCC8J7t1cODWSLoDJJdGklJL4kHU9/
nRgkypw302lAKFrKSpIyn3g/AbcqND70LJTWmnEqhno8NKE5fC80PRoPvrqcuWx6yxS1OiD5rQ5O
XgEdF6u57fTKWqwK61WxJhaJ5VdUOznQMJba+WKxYym1CoEOg47/9cIqHSvfRxkggEUjuvyZYiH+
4J/NLtMgyyj4ZvqLhmleahTF6SiE5lSstjMBrzyzJu/nPyOu059NseYoA/ZWCHh5eBdwAlloS9nf
z8Lo9HDb6cYxWWrvxXUgFtGyOZDi2MxRcxJNpW9g7hDYjEaErUEvHA1Mqef/2xfFr1RpatxHtRwN
2KIa+161OnXYJ0C+EMlzThc+RKVjYyAWYjOOoBArkfRVM6QcjhhDtu7cWD2uKFI8Hi278DRsutpi
nNwgw1o3xJ/ak+2KWYwq+1tiP59OOj4o5QLWZTyCb2yB4RxS+onU+VrNenSjyTkrqtCFUUaidC7D
k0ktzDnwuxX59sYdpuySKbwicqcyPAfK6lGu2hWPjJIUOpHFsur24AaWqe0s31Dfq7t5wEHItPGk
tZ7bus03OkkYqti7Hi+WJthELUaUeu5KfUZ+hDJBjxcuD434TlcVczUpk7T2pRZbmF7dwP4HTzc/
anq6z8uS+B2WRFGjv1ZDhWfhlG7AL0VrA6Ff0XanMKhll5cjyuSwKLwGQUbYnQC/Uk8Sk9KVZFKv
QUxQBS3VCihbtBmqxSO61ajCJURBcno1l+qAv7HdeCWIisYm1tiPX43FibF7B6sUPj/3zimYkngV
YbDl57EM1xSL0kghXN3LgG+1GDo+pplV/xX7KLJlKqlW42zYWx/WjVS2u1YNOQlw6CLd5EzrIVrx
ZtCpixmeHHsJXWIEyXis+bR4dS/PFkWBHWOZ+zzZatKEEFii3r8bpC0jinlF/vGNwXO4tif0+6Vk
JrCJKNOxZ8aeOtocGzwa5Zv84UHuTLvEvo0gkHZkPOUTxbS4Z9g4MMg5/+gSlS6a+S4AGGwHtozX
VqfDnEL1FEpfrY+3TD2elytIjc32nIbzH4Odq7zhRVkxyZYs/1Ko3UeVQUdSuUVXytBj1jQN5BtD
C8ccOdY9AqKnImlwwDXRiaHg9lLCCZqOKHxO5HRltgtSBNayO6rts8/7woPy6uLLjD9oRgrH5rvM
yolgQsz9iqqcCaKXce4qaZMFjX+bIK7Plf27THHVC+TgfeqlTWszERyU3lsGgL2phUdq5TaGE35K
cFjdYsSbWBnnF6ciYEEAUpH+WFgkwjXSor2mEMlzYvkGccFeaVPq+WH/MCn2BiNcykdCSrEkXSbb
ygxJSj6SSuk2czV23hSm5Uayn0Ipz10jzvx1nebEZ/p8Y5hScZpDDji0RAYjRbkLxrgFTTntO/md
mX+4ciarX3f1fZNg1Vrj10U8f2065avS9uBZACTZGqbHbf9ERa4G7CgOV7h4Zi6jQWU1w191HQxT
3XYaMze2wp2hS7Lbg+wyY/0JkFilUyQJ5itlfFTJXh7jvmJDDJWVbqdogcG+6Tlw+nc/qGqgTsVn
PL/MagJ8LQ0/KM7NvEZ9xELxsadekqwLtNTh6IBMXXIb7djZHrG2ceosQmYUAZu++kX4BoSJ+RoP
xqUYSdqnzklX6ZYpw1mTGf3zTI/XPa7Dbdmc/LnDQDafttjzmrjL5uFu+o1zNvHqhyTv3pQOQ3m5
na56zMi/mxdcb0EgEGt0En06T+gcyGRHzTBgw4BrYlUXHUCw+L3nJLl1iSmwpEn7cmSQFepKtWq3
nHvZSy0C/lgKHLVyU2eGf8PbsF2T2olXY2U9mmPmaXnHg0ACQ5umL3jcp57ikPBu6jZymyZ7pl4U
kWPLHHpMIvySqN40a4yEF59YKqPHdSOlT8D8b6DTbLd57k0IdFWUoLsf9nakfhZS8plF6kdTaZgF
1pD5ZeZQRLi3+dBNGzsjWRAp1LLbKXVE4RS8KERBxwzY3zAV93JcXaolUJVPSyL2j9ZYWC8M/OCQ
Utmm1124d/V6lMxF7lze9WHsRoVJtGQp1K2CcV8ovBQyaoRM4H2wXnhqmsEqVvZ1Ft1ZFGK4ZVpc
sqT4yjRrX1XmexMx8Rr1a2inmafL6Y5CFeJBfotfy+Cjq7eHQ4ubWQCq2quoQF93WgyRZ+gTz5Rw
o1eldnIlIx89X5M+bMhGod9TiB5pax1TKbW1zO001g/YvJGGzvQtUYCtMRPJDPPHfJQ3Oq7eGzs0
qR+mZiUyuMyk4sWRi/jQr4LQXhhiv3othDaePk1zm3rwZx7Cev4oRvNZLaZbb67UzKw2ZjCeZ9Cc
iQl5rsF/UjHNcwHG2i4aOIOFSkZNb/aJ71OmbW6HSPLsCK/71ykq35wgfTDL7jSa1DTKw1PYpruG
Gpxk5JqI22YDkg00TX8KAQdS0AYYrU4NLymZgUu1p9Xcn1DljXRXNcVAEHeCGQcfGmgA3hWB8Ta1
4xve1JlrpdJjYwOyaSP1tcmSjwGcnlaNr+jL/lC2S12stp37aN/p2cOEjHyVysWvsgNeHsFh6hMq
qjkf9zomYtuCNAA1fxqxo2bekoAEptbsg6674WmEh6BNfHxorT+N3oCm4A2LxzZW77kO8heAsivp
A5aXcg62KT2pbX5LQPO4yjwYa91xtqPp7F+zBkAftKF9MRotvP2EYvmJ8ogQH03c2I+YYhQXdMOU
8Flg01XuyNInskNUuDU+5Kw9JfLw0vGjmPo9RxRhQPpMn5xaOvLku6e4rHS7zuLUBxcFZ/rCULdt
POzGwt80u2bINw2nhYcEM39yh6NLbi9i/D+AArbKS0SUatfipyY3GIuNzikpYH12WkI+Jd8MEXfv
YPt/0hQL5YT6tHysn82uPalOe+3sdIWfw61sgzcjY96IhAzrhiF9tdDUwyct+hWpGVwedKw/Z64N
MgJg43OGDbUyMKIZ17YmU2DcbXXmGXuH2XKRXbAerRkHRDKxKm6X7tlsCSrPqT26cHju0nhs3MqC
CCjrFBxpWfBQmOmfsh1rN2vTwaucDsdIRId1KO972fllaQwipxBydh70R61hlF12/lvXct/Nnbox
gXlbTX/WiN5BTkk8EHemlJINrXxQotROgdx9hkFIoVNACE0jdlj3GifZ4jRieTLzQFcyr1MtB8G/
bbt9PGRedt9kMKL6RJI3qgazoamjXxjAtz5se15wjCRvzqc8dt1JAUTGbMzY2X77IOkT2E2ne9Nb
SOOTFFH30r3VjbMJepCiTYRHsZM4XkqIoCbBkVIY7+WyxM3DIKzS41UVEBHoZDkjYp3ssrm395hM
PlsR8B7e4F1ffiotY+Np4PYs4OvE0UmXChzmBhiKMZdLFf1SePx4qJOoasK/Z46qUxAVX5iMhq6u
dKSVtEe/sTEqyX8rkOvsuUYloeAI5kc2/pz5uQuqo8lgMWjzS++QNMRfBNTVGQHRE2PtJ5ukxcoI
Fq8IdfyYDGYAid2PF9vhVWNOXmJ3i8Mgb3MTA6m4gaNaPSdqxd0xrMx6lu+MPhsZjKeJq9uMwcyU
uo0g+uqJZ7dHo1gIWcYI720cHo1iWCuqMTKwwjQjsmA7mN1VGsZyH0nJVQsYkONJm6tGvtWITFXV
PDCgDfstIm2tMTOPgNCjGQa/4VvBTk2o2QuVijuAi0b6Iuj3HhXJ3je1EWfglmzlJSvBmIG4192U
atvdbAS110DEdIZ4Fc/Gue4calO7P4Z0wGr5FGHMmhOEBvhI7V1SrpEyXuNe1zdyXr0CWTh0+Qzx
uVgQzW+VjnH16CiI9YvwsdQtRkLUQNkECdxKDhh3FhGYSUrQc3tL0ZKBNaQ1rGITcY85oQox3uMO
BGQ/THi2m+pG16YHVTZPVcwdGHKGEx1TCbKSfwzL7720hTicrUPF3Ebm+DaPBypnHlMqUl18Qap1
pnCesBK/oMSgbGRmvm6iVWqnJQRvPEuQ+ZbathX0kBe1OUrKxsTwyHUM6V4v9E0P4HZ5SBUuHFSk
UBMF1NuFLof7R8KDTdKOoANf+1D7rZrStPHVHlgyElKIhkxP0xS8HSNCw+HqLyS0AwxMsE0M0a8w
xm+jEEZSon1pZpu75ki434CaxHOTEKIBXlCVb5Etq1DlLC/B5dSVHK4Sy1DfCbj8wUO5PPYJWWuV
xP2EVVGiKr8A9mUepTIIKDXFk5PCWD6wjogRe6pKYt9OtroBl1YZx52l9DbjgLhcgZproKe0L7FS
gaNuj1LE1VbUutuk5WOc5siRzANgTG8uGD8PrYOrL0EK10zD7YDjONTO+WJSwl7qn5PifJTZHHsU
spVcpt3NyodXqxk+IInu5mlamaryVoyRAS15ANGL+MIfawM+yZCvyIPIpX7fJ9ata2xkGXF27u2O
BEolk8h2XmOjxdE+0x789leny6C6YYjiIIbjjmz53hjm59TQT7picusGLX5O5DFq2bormXX0RT54
YSRfMRx5VHtcMZ0u3wTh9Cv0jZ5aQOtGQgUDl9iH2Ty/2M4v25QoElEXFl/Wjqu2jRlgM8AEXxd4
sVp4ExRbbM7dvu7IN4RbqczPefoINs8h2envuCZXdRlq6zFWmIn1Cl3VKF9Lqqmt7EMTAOwk6Eft
At7gTkfNSW6th0p+kdKUVEunbv0R5t7oY4aXgkGrrG4V9O1HWFF6b2h7xhdNnjLAGCzXYFTJ7Gu4
k5M9I2kD6nCKS1XkrJSiN/ka/BBSR1r51ObmlaasbDv+nKzwJSRPOU1dtpJ62ICxo057a3ou9Chd
++o21UlI5+hQ0aAGaxMfmELvXpI8WCLUzPz9mP+aY9YrXgjkSmqFSCt+ddI2RkQ6mcnjOPL2NnD1
3pQDQ47ebEkTNqSHQ0yiHcuBofxZ+nhkJGF5aYNwo2EksnGm8Vgm6u9UQrAbxpDfF95Q1X5QkfRI
QrzYSNSouBV3/NqRLOaGDrfSMDSXfNo4UICniXA79VyV5ycBdLYCWWCFEiElqxU3aP9Sn1hIFH0W
fnqSLQmoeVziLOQbpJ6iZhcC2HApWrLculA/Bw3sVPqomFa+DQrlzVKknTWPxE8cqnm08rMoQJ3C
6/6EN/POiPq/6Dqv5TiZtW0fEVXksDszTNBEBWtk71CSJZMbmgxH/19gr9drvV/9O9QADZOg6X7u
1G+lHl0mLIdx9k3TNWmwuBBM1yoiwvU28DTlVkRwKN6hxED97n6Rb3kJPCKWY/oojaDzvHNePW04
jhVmJPjMkSVvVNeuMt8FfxaWKI9x6uk7ZY5cjsrxlFkqru+xaLdxzDxNZexflv0r9yg0EEj1c3do
+1U47jgOFLwNMb6NDsQKfUs1XdmQgLV7RUgarHoZwB769Ia7dI07te0XJ28ZbUJMtSYYZ0RXI504
ZqnHNJUuKjAY8HJvQrKl1isr6DXfVVv/ITW4VDmcCQq2TwU/3kr0xqOSpZQMTeOtA7fUwr7bkP4z
+6l44SmyzJdwsvdaxgDdDAnlo3diBIDTHnNYV8e7VbYGRGOchClY3bwofCy/6HgDkJ8eZeUQdY+Z
yUzNrtDTJD2xKKb6FlUENYx6QR5U/4IBabaFw3VLnO4ErIDQT8kuZhY2GyaBp352bh2NZ+09FO67
09avtcqFmVqvZF8867bYmCE5hUQA4wJOkOz4UFfcLci6YIjva0N9axvrQ3E66sow3WqD7LpEpRiT
8Px3pthAMdEdZHtJJT7gdADQ4GbzZu17ME9eXSU8TTgVYql9SnV7onBX/yzlsJWO8poRSbxyIqNf
9wUDb9WCzRBwtTCKaUXhIRU31ZVlZg9F0HwIEwlF1E6YUkJ/qtpnJzOPRm7Xa11pGVMJ6PcqBtVD
oigbc87nbT3NRwpOFH1S/IzyaI9xxUMVR1s1tT4jt6JOVYECkqRKlGK808fyktoEilYyO5Qdkamt
Wvqwwt9TrYYuqpPQbcV+kgI8Jw38t0BgHGz5fIRjG12dWEAS7k9C0fB3srVohegx6I2noEFCEQS/
JqG86EQJDXYRvSjpDzwThTXpayVUYWP1+mXEe2xjNNpPp20Ouhc/Fz3IOgrAzyaYf+wo+zFq3T0V
6KpJW8D9quA7x/1lTPtzkUDPC8J3hhDvBKtGK6fotlY5/mjLWZen8iBXcg9G4FTgPa7DtmNsPlcq
hx0oXrQxRkqzaqwTAK9TTYh+eBaJFGktTnlGnFJhPeVub4KgK9+nsD+pEgtpT5x1unDTcXdNUbjr
vMfkTjR+3MdvcVaZ61/SKn9aRvYRlCVcS714zHFrbJyczsWuSFuyGuzxjpPo/YD8eFhOaLW18ojO
6FlXOsjpKH9RWezHHlvCiGzQJFEp6rWi42qEcz6ZxkYFU8WDK0QLIvq1um6mISEpMU63U+gcUVC+
26b8kU3TtcPnC1jNPnOH3O0Utzal3XiigIPphju9StZO30I4VkiLSqYL4qUHXGunnbQM38LegOeP
Rh5ltnZ17q5uUrs9mQ646EMDH9wWk3W+VGl4T4ND8cahnrIyGNFxFYuzkb22ZrohQPVWRc1b1AGB
z5fgNBIxBbFE3YY2Fwr6icuUBTsq4m+B01yo3F4DjPKZJaBDy6Tmk0J0zMz8uYn07/lgm0z0Ioa1
6KlcD5cns+HBKOLnhSoQqhRlKB6Xe2Zjz4Rqv5VN8pPZ7wsq0OaAbT6ZylOwQffyZpWnqgy+MzyA
jxExRAko1J8UgJxKI2ylHa3Ud3N9D8uIsl4yGgwZZEg+pHIqnFK5MNe8Dzm13al1tuRli01h2T1z
+sHb5hNWNJOZpXtRnUWhABBwAt9NlZ/Me1cjWggzDtz9MCnoJnMsKwnJCgc3fOjinkkjzglg+8q6
TCxii0drN9a59qBkIFgSJQJIhMNEzY1U5Bnabhw9eUAeF6+qkQymQTPyJ2WsMY130nq3rP7ehg19
wn1ZZ8HGQcKBEX+p86xqCBt38oIsgzn9aXhzzRgzbgIsbGcY19IbD4WDJB2R0w+bOrJmwj91jFbZ
8322k8ZAtTUDKn2Y2DO1eZ2yqt51jNCrnmdYV1GAjJtn8oXf2yablV08fSalP5ha5+2c4JdDZud6
zLR3eGQ8a2robolqhuQcZ9+VFkPVwmBob/faVyBcbhpG2HkQfBiJ2a4pEbkbbANMz8DEWRV8J5tu
yZUPcT8P2SLlGDlw+ALnZ+TpP7sa+vZIJxy0wQEnZgzSqVg1nn73Uky/rW05Kmc5v108IzCGDX2q
x/nec1/xz8P2UJAsMYl1NyanSbWf8vJaJma3SrL+WYSgz5nrHqrSpKTpXFMdNbnjflaDhYl/KG+j
lT0mM3TgKTllw6E6mmrYr+vK4I7wSIFHVfZAPobYyFAOYPjNhsF1z21tHERnEqhjMXvbG2FkYjYB
s0O1cSTQnBJP1NRwcGgMKz+xymuVdG9DPgctDkm3C4z8Vx9P9bnBaSOkvK1azJSN0OMBOxrgA4bh
e5H6Fo/O2Qt/6bUBJluRh+Yy4SxjV9A9Js95/xoYMe5CLnO0KDTCFRLr1dDg5TAUw9r1EubOjtWv
wFR3Saxq99Sjt8Y7ltktJZYhJx9Ki49mS/XF7swLc+wXW83vde5mvlKZMUSL8A2PESTsrr5DzaSu
IXrQDc6kQ4fYISqHFKna9Vz29DsdsbrOf6zPaOukEAxppemOIFOO0o8GWNhWde33CSV/3lOqDDrA
FSxUkLiDuPfNwBxOIXfJFZm7Tm1bQ9HUvWgZhoCqgeVLV5TQqihYWeVnmki8X0S/z0bqzFpmeQfd
PDR5067GEGCqnig+OU763lLk42lTKCsB6aHOiugQJt08gNa/W0hcVlQrQ+xOhuqm5jnAim59FDP0
FPyQVFjWWqowdm1ONTVLaLLVQ4g0sGUw8hjYXJWioNjZquhOukuHvm4NR6X0PWHhkj4Ce9hzYk0r
qfjFU9uDl3HB4IyQ7qoIlwqGd6uhSttHSWb6pibeaDbkP1KXP4eWXGctdZsBRw2tp6zJWKo8JJ3E
8YMnQiTNYC3bWD03vbrNGVOuRgfldDyRWG6qV680jZ2ptnKLQ+RhkomzslPhRzqBLVPIwyEMzfrY
U29PXQjuSTq82gKSqdp8AzXj/xcT1B8qskFcJw9ZQVmdeSs+tYlN9Eq3xYsBFwkp4lPjgJ/KiqJ9
aQwKolj8IDMv96fG4GHc129Y9PjCmsefBdK4qTtYKT1pFhevwp6MvaMXsJnNYnww6xkTqqDTEL8B
h89JK8a1GXniaDd8M+KyUHoTAXZNIZAbjWmWbb3mWZWvHU0EayxXBFxOVK9lsiayTWAANd+S12zg
LdKRW9jIKmttmuacpyBPlpncG5vfNtAae5/EKQQmbntkPq+VzTeWFm+JnohKTGjTrQHJ2G53tzwL
YnGan7D6HI5h8ahSQuGKEquAf8WP0hq777piusd7a+W4JWikA3VmlOWA9fi2WxbrJOz2JhN34oVz
IlZbU+wAiw08YrZedy4iwlvQyr6rttk85Xrgd8l4N3pUl53TfasDtJ7QgKqdIIiGLrq5DvFEI+WX
SUoQZZ3wozTsduO47UMIhkrh0NMxRglHyuZ2+Yl/Mz/RmNw6tVUIn3ZRwHQusRsCYYIs4dPqVOh0
wkZaEjYFV7IVYLfGjYTqvzybY0N3Mwj9gFFJMTGssLjmzFL7HELrXdV/dcP0ifUM4RYYhVvyNtW2
ijNOQB06eMd8i6NN3d6qGQoKIEPca2pEJtQ9lL679GDMNik+SdT5daR89yrT9VutInAtToszyJ/j
Z5NLOp4JpgPstVY1RjrMcxD3MmJlXrvD2Mdc44mRbnhsHxIjGB/sQAXbYOpjCig5TlgMWwUveHjI
z42SqdvKveFxwcBQHV+7QdtPtUpVeKi+NR2IiN03az0U9XroPY2BYjbx6cNzVDffMxuIzPild/HN
ZbbPJJinYtcNUI2YDrQDAHTkKYzZ9xW68WtIHolSEGZNuNOmr5XPqui+GyG5XllwTlu4lWb72bsU
9MuEEjzsypeGogB5bx6+v8Km+GF86wKmhwnuDT4CnXdlVq9FzngcHKIL8iR5VMwS93xr5JKbymJV
QEXZaB1zPmf2xK9L8aUa/UfTqYxY7H6v0ffsZtPtvsg+4G6QXon7KXgvM2PdqZ74RglXVZRQfrGy
XYQFLmTDTaok+1wl0LkKjJusveShqLm2DbkJ+ZFXY+lBDwQE16Rn+VHT95fS9Q3Ysxt3MEnbaN/H
sbjyhE0YBRsrs0Q+VxUCHki5HZNZsNsw7yC0DYL8VH4miKyYKiTPuuoF60hSeo0KK+YVhZMsLNqr
sFHmKj+ptfc/lHAP+qpi7WReuhqYbRrET8eZvVlMpkZVDbGu41/R1GkXelN9jeeFRfUth0n7sGyy
M0mUEZWHMrX5tvUcQRMM+xz6I5xcnb6UYHVX8XDxr7pxU0r64aDUXpI2TrgO1HuNvcRG03VnHRp7
17atjTl59zCOTFRu1LSLOu/9KmAik/foIJJVNRTyIIf6pXPKaacnRux3VXYZoIyBHYPOGVUmd9w8
BBu7bYqP8ABWCxLHEI4+FpU+NhVUh32jqttLV7pPmeAHFVO2ykutujReU5LhvXV56LslniwN8Aau
Y9cqGCnyU2ZsouGjbzVcxB1g+aTVXg0bZmFZ/yglTi4ouhgK5b5XOdccRGxTTma9ZtDqB0gHOyBW
PHPmoI3+K6nGTWB3DfGFD2nVDluMv2EuBhdvCs+hzVyFadk21cto3Ssp9Ritf9DIH2CQM3zR5WIe
5bg3zageZZtShrHD12wE/zR5LoU4SFfK+GsgPzgJDO0SW0a3aUQebpWMZASpub8cC45m3rwOTRes
TGyQ186orp16pH82pk9zcPeVQUx28suxuUCnPPspB7S1qtMw9lMIMRJjeOyN8luVQqZouLj0+gUd
x9GrYPiEQeQHcYWLR6uvHM/8OStOGIjjTlJ7urEOdOekw7zOwF/8LrQPHpSfB4SK37Q5ZjwsFdD2
gh/AMT/rDLElOqKC4ut2CFxMbZLsxbPBqXWHjCK8QB7sYrx2BuiBZQbfoxsMFHqVddBPfqtD3e+q
89im2Q5axmHsgitxIUhfqEWk2gBVx+Gc4Tjec2F9VdNwNs32yigV2+LomAa04OpUIATV29Rsubrn
0Rk4ytVOIpPhbJ1TOTH20moO2kAOej48K+OknVu4QDo84G0R7/OKIW7jGV96arQrYdd3pWgm6lwp
DwN+Nx1lpoT0VLnRsQFLo+b2rptNc9IIi00id9wqTeNt6qlYe2bE1RI/ZjgzrEP6+qLaYat0gDPJ
ozxVdfT95Y/MJk4sGAwSp5Wv0GrfUzP9aKpo4urXd73kfzFjwgvJW9/aU/0jNChCJsksp09A0Awy
nvTCDdcmFmVUGEBsLX7mruq2EJ/oYR+SJvnG///kfFRl5W1C6gWUaSn61566UnqmVVb4NdTDU607
X2XW3N2xfgaFCNZ6ouCT7xCc5eEoJQOmA6Y2s3fAURVSg20TSjaRB+6qzSfJlF8FdXYC44hR2ocW
9O5aCnhiM5olGuT5zNSyDbE7h26wMX94GI1x53AHibDY5XTcga28GW38C3MzQeVZDrtChdaG/D2q
voRT38mZohotiqs0t1rAk5M+HXdlb5+bHe7H4kNPXbjpg9+6MZQ61SzJZUB3Ws7xM8oIwS7QPh39
C0DT9aPJOw9Q0jZCwxoB6nUsVTi9XvQwWJO2SuLoXBYKqZVGfrJRq6VC5rtmtFQf2pzF6KJft8Le
af0Q4jZWSiJY5JPOiXFY4/ZPzYeKSWmIopN0xwjhtScbevjdWCZfUSFn06nmYAiF700qp2lTxWF4
yyRszkAb+1dtirwjlY31UJM97lqx5g+OeInK6ma0BEFgU83HiDd9DtfVpVqO3ts62ylTIQlcvo5H
leAqIz3hqfcI/RvTv6EEsRoAMQbCnWBO7WSjlH5fXptJ1Y4i77a9UMKNTBmUlfW+EBrjVmrCsYj5
9wbhu9F0jnM6oCCSwlfL5iF0CW4PVWIXYBxpnlL7XqYgV+7esqHyq65mCNCEN0Vj0N+L4jME0JMJ
YZReqMQbZdTf7UZeTbXZ5142+o3GeDdrUpt6kIFYKMORJehvTWh8lOYxNOg1yQl0gMN+eXAcCtNC
5t55X2SkvFP8MqX7CoKyG4iBQ9NyNJiURiHDiCHUrwhWrlGvXuO+he2hHcowy7ca5QE7t2+D7s1U
HoajpSRIcYTrWlb6vR7iFxiWDEfxobKaDqGGsC9iMp4DI3ky6VO2rtPu0mraeaX2EPAkRyy6bgsA
MqIp/SShGkliZxJXK10OxgYaJWtuyGCnhBdT51TN0XLHRbQbO23rNA2jEoqNHpkFq1LJTuZQfQZJ
95nWYBXJtNLkUybblpsGyV9QvOmR/RkP1lfbFfj16xtDzcod5vfgZSPGCpJZux19UJIFsC9FRfFM
uRrF9BJZzmviDHtVNw4yYqiqNPoJ+x3kHiYcnZYHolW77er0SzMVX6olDwysITrP3FqSJ6zaf1QC
28D0wzRMctjSA0XdR9uhEpc1xX0KvE01TuYuarRvHjmsUnrfo3ZmxMfRSekhUkC0IwUiH05WTu5p
oVPgzt1vKi5ubVBcMTzqYF51z7KjFtOEiGELxz4jHCPQLiifcoQMK28aT6L1NvFkkaJEExCTk4FP
CjCru7Xc6smw8veqJqtMUR289iGkqd2LZ1JeNjxkBZb73DcaAzZrQ5cLAo1HAjRc81tKQCdyE+zF
LKN6F2q7UWCpSlJDh1i/2ppDZii+gQk197YM9vMjD1zgPonUWpmRQJuO1CeQ1qM06otVDe4arJFp
N6F1K0Uat6y1a1/A6eldmI9Dc9Rb0OAQOKVSfuLkQNQjtdVVX+EgCS9Vd/hre/DyLNOYlzoHSvD0
jbFW8lybdq3WvuYqJTBckWZF+k5B2F17NoMSBoo9apUZBsRPKsZ2Qg1HigOMfoP6h3S1bVuZp9Zx
8EMpSYZM6bMxtHAKCpptc+5LszlrRdyeKUBMwHq9soc+0q9qpRwOeW2WT4mppE9Mq+fXy4aiRv+I
TxGPTTvACzKIQm1dWWq9+7ObhsrQ+cQayuuyCToAOIRlfv97kqQPE/pxd/CtqS6fqMPIJ+hiz6WK
eceyySDe9SI9df+7wdwqI8B0y6eNNn9PRCEdlX6vK4elHWTr4XGQxNfPZ10WaEv2EYJKYGs+2bKt
tutmDcPOwsblP9uy2F1rmPpclxZ4d42wXRIK2lbaX82h+7NgbvfomqJ/+Nd2k7EBVjo9gNZ/2mvS
xsXCPIGT6pe/mzOi1S4hDKPlpMv2rBiJnoqsG3ORbanL4JaQ6fkiA4hTRdk3D8uq7RXpnAE3+fGQ
tC9eFWZHXVJLFGHf8uRo3EcyENYZ8ptmLZzh3Kt0vsuhY+XV6xCy3mFZTTIv2SFsMDe/TxwG/Yms
Qopm89tWGa5zqfa76fJWrlfeQV3M8/JOfUxk4xS4IQUJmvetzPdMp5X1shqjPD33nv4tlwqfQ1Wv
htTq5+U8GkdSyqjkaTmRJSD1SeEF22Vvk1jrEU4vqpqseFwWViarbVpxa2GVFUXr1i7wuujzer3s
htFcPPKG8b4ig5lefG6Tx1ME6wpQ6+950nocmA+IHUUKfds0RnylxB5ti37IbkDwM3OgLB+xqHM2
RRh3TymWmpsaV4XnsZL2OkB988LYq1qHvZ29NlTfuO+s/h5N+Nk5meW8icESq0xpix9mVX4RKotc
shJ3t0vyn0MpkA0mxqeYILJnbvGrGRhR5GAqIBzFulNLOo5JvQUDI5pVdaJaBSU3x4XGtBPoB0QT
M9zpaD0Vuwgs5Asg4mg0k/zMKufRgeH/EffJd1dE1bvKnIDRW+1918FuV2mSjdu4DIlG8TT5SJg8
vpqZQxc0By4v28K0RFI5KQx+Oikflx1aqDl0EkHpL6vLjiqmOJSEmcJwh1P9bleGg29DMdssq818
gsLRXb8bXBz1/nkPsp4L6NPgaFYvi2g9VY66VQwNF+K5zXJ+D0xwN0ir+/1Rlx2iDtqdqMG0libL
+QdFheffReD9hYTPhiJ9P3UpcZFAoFfSgvJ9K62ESNAyOnObKX6jDMkzJgbxutKs5keeKRfdKvsQ
jPhxcoPol8ytdwje3r23dZcI5AbZbO9kVFU8eVREYRwdvXe3TF477v9cBxc3urc+6N6sAiuXyPJR
D/AHTen0KJzS/j7YerEOw3568rS42Hp2jt1OXncPsPvdHanNwZVY03pjyFR9hVGYYJgU3aSaPolJ
1y9GmWO0YNg90ARYYJtG8sKFA1AUFuklZeq0M/BaOKepme1aiUtKJgC48rQfz6llNDtDwCoQJuB/
a2r5WWtHfYezTXjWPN3ecaM4pzRFCFDQ4XKXPQhIJ7sSaf/esJLokdEIQzrNsX+G2QO+EvZnwzx8
VTfh+LQ0ja1JoSrzn6ZDV/+rqYHM+Ukl43vXNRa9b5s+w55KTmSf7foAb1PclilnLNsoeO46WfaR
3xMXuikrFdQv6B9zvSZZOQkmX4+n/nFZEC/rrA3sJLbLqja30zqUuKFRWruSro3g7oRaNq4+4UGP
5fD7uCihqOzqQfUACP45keaHURWVfrj+t6b0sL1Bp8Rs0N0XpKjAsewRA6NLeDRwFd5A2hn8ZVtf
uMEjo3s4+jhuggnRbtnm9MamH7FnWtb6KMgvWJTtl7XlROjTvH1Ceh50Zs6xLCzTCghu5h76uw0+
ZwWUa+uH9p924B8bHWu767Kp9FyBpVu1Lyoi1Icsazaq3sOuoIDSbJXE5L8jDjLyUSOix1SmlFqW
Xl8dHgsQAeaN1CbT9e/1WlYY8FHH/d1yWcU4n1LTvPh7imVHYYXN1QZSx3PaxQamr69aMKr7pXAv
lIwPwYX5/9kYWra6VzRK/MuBS8NlsexAhwocPB88TSX08dSzD+E8AZVRZVw66j/XMJfQWnAN/EHV
sAbksYqbXmJUYU3ocYoWwNFwxJfQC+8xDhHeeJJ6+rI9d7xn7D7UZ28e7kqJLEaJWtqL4liUuEJZ
I2nTwSikv2xvI2ZEfVveQXEczIkG4lUToMvcInJWi3rlWDtcTavlZTOSXCqGDitzSzkum6okZe+y
/vvlsvXv/s5DuJblyq9/bV9W/7XN0l3tkMvU711qqORejcdIH/8sVLV+jFu+62TCF88jx3rTEsQH
apmWPwDtPi2ztN8VR7w2mtYcTNswd66WRL6XG7h+4AH/ahYa8BkKD6G79Kehhi9TlcV3Ei8JNabD
hJWh+LUxHl1ctoIxMTawwun/xHAZpcy/xhJTz7bW30KrVmGQFi4z9l556O97XeuwFVWB7ldqb4T7
IBdMrRukXa6ev5ee9p18cuUJw+ziKHRsBmNngpAwtFuZl9m9UwHRRiXTtgoSrh92sOYEud/euyos
HzRZZVsVgdihaMP81R3HA8VI8a71RoHqKQiOedQlT4EZ/lrebtJd/kE5FFenyLtLEIIyDPMB8+eA
QQmmlcANFHZo7rCT/EiwJD0vC0MM7VmaLfRay8XiQGGWLiFIng09NofV0gYt5/wSmjYaOPP4Z/Wf
UyzN87K853lW7P+eOjOgBZtK1/itRBowDNMB3xbvsqyJFAGa02F7v6wmFSwW6KmH3q0vDoBgc6ip
gMAOU+N1IZXqPnbgqokw5XdnAreOh6x+L7L8Ds2j/0lE87llPPpVdzaSLBGSYF9Mq8JFJrBSmMjP
5WgvRN+SDzBk3NCc5fY5OvEGnfJsLlc4Eoc5XStXMdHSu2X17440U3JykOFZdpS7r/Gr0hEjbmBI
fXLtSHrbuoTi2w92fYiM9mFZWxZLE2tut6zKWV1k9iH1ssZ5jAdVOQgXXVeOSp1ZeoeJgo74ahPP
u5c2lRKo6yyjJlpZFm14rP5kSq88/D5E17J1pYfW9Xdj/qeLRrKEVVnOI4IhTvLPe/w+vg/yiiuL
96ihFByHsum36wYe9lOY5uIpmKccsVrB1flnm1u3zSalBAZ1B0s4lCv6rVJd9yT1pDqhZbkzJ7Ze
VGRV+I3Zt7J2sJRN4JM7XIinZaeFq/0GHki5V0t4gk1nlDvhwHfNGiP8FgeF45cd5gh6MqCjQt5J
eE6H1G3I7Zcpg2XjFaHytQVfC75Ex5DUqBrrJedcPgTZ9DRYRrQpkwwBEUyBZ6qZ/sC5boZlWM9T
FVA4dXRmmIjsmJtj6m6YTbJa9joGSOfYOMEJeB6D0TjOLmVtVxcHxhoQehV/SCd/qERivVZG6aCp
CLEDmfL4XioUEOYGzv8eCZZaU1R3ow/4Ir+PtOmx1uVY6zewJSrujsxe+gyFEgae8WMSBPhGaU0B
RJI5u3609WPCMwI6TN6CaCfFif6t2Y256lxMfh/fSVPjsciIv4tVxXkZZssi/HhXUprurm6DaVzl
cwZD64zaGagzo3CJ69a8ScDgP5fz4ne7pjILsi2UP0cse5pxJCG5NwMiCBG3g3H7MBLbJ9too+fS
xrMixujNX1aXBQ1Mx26fGNnPKiCMh/42WLbRQDMpB1IB6Q+B15ok03bh0RZZde6jPvfTPGte9Tj5
ufzVmvErtvroM+FapZg+EnQxH+NiVXQ052Myh5pClZj162TM8EEffJni9zHCy7SV7uZ/jpE2vJQ0
E0ckVd5Ra0bvCOQJvtXrABIyEeE25dlQkYbNLrHs+vdLBsHGRmnjbTbIvCWkwETHR6ruqubb4/JM
jvoYYsKwslSXpZg3/F00WUwAMKzXlwkhrd8OJK7X8WCcCqGnfmwlyh2R/LXnKvy04u5m1r1xR7cg
gMXr/9M0yNvrMnQ1o+FWevGfpv86qzmpZKwXMqWM+K5XwvimBlX5Enb/tRJ371pn67/3aN5/7fn3
MaVX9ru6CiChTLIjWbxWB56xKP4BRFXTX16mGoYA8bwovQSHSfeq4tt1rNJ5vra8FHjQKmSq/u/W
ZR1n+OphMihZe6PyIKzwiGTE3GVAxQ+g8srDsh3hO8XTZaOWDy6+yHNrQD9PrJZWra211n5pUC9b
l5fLQroWWJnTJqsS54w/7Zc9oxb+aL0qOo7087eQW2OfDRTmtFyKWyA0cVteMQp9bQBTH/5uH4JQ
27sGwP1y6P+2hW36p22Dd+8Kj4MW22E3PC8LC6NPrqPc9B2Z413StGi/l5d/29QjcMe/2yy7bdXC
rKUjWCaGZhi+KJi/H4VoVOrT80tdgfG1vFoWdcizC3pStPq7rdPdUZ7/rqf2lG6THB+z5WAkjjg1
/es8lCsBaeraprtywcj+6xwMnJy1GAcVfk2JVgu7vs6LbxgZiFuoRuIms9FBIx4YG2/U8//esW86
DPz+bi0Nw9mAtBqb5cBlgbWyuNX7am65bKh7+GE2Q44dOo2cpJn7BNx4JgxBrpZVpEzFrjZwWlpW
dRPJqIJW87Ssxna84QGpv5Sert/S3HxZNvcx3q2NSYZcMorxXmtAvUwhnMOyV7HUK0ma0yNB2eZz
Labfp/Yysz32SVvip8RBIB6jj68Q89H5Y2kZboKFpRiXnlylux6QTPJ/P605f1qGYdEWJGm4//20
yylTPm1eY9AsUenvFif0nMfFtilCeNGzWfpvd/TZT/3vqqwjlGgeFJpl77JjGjJ69mU9U8X3TMvE
flkbc3mkq0Tik2m+lzDWRRYYxze83YZNTT3bH2pnhMoU5esAo4JLwVCI6KTAAn6osM9aWv8+0DEi
uNPSnXM94pul1PENvlnI1KJ/TMm/OGEgf2yVwb2rOm8/egOqI8+7yS79Vs+bhYfOpkqB05s2de9D
YyRrCvHxadnb2AmZGGP6GmqwpxuTiJ2hV9x7hWhsK6pk2C5H6XpPObJNkounZN7rlJyWt3SVTj3h
9AoCOL9VkCQAuZVQdsvqmI7fJ3Jn8bCqy5c6DPzlLb0GbEybSL5uu0x/NVGNpbF7bjIDxENVERcT
ZHUmKds599ICe0k0O4AXaj6PY2ZiN/TP7kGBw/D3kGmaRjpRLPYtHq2Gheok6p7DqO2eCVqidJhB
Dg1CVrG8IUCmH9//ttDa4FufGNl5aU/qSb0zOoSWy2o1n3BGcedzLcf0VW6t8RTxdp5h7Zp2rK6D
QG/PAACqfaVwt6qYZLaGHX5Gj23UFZ9kOOXwBMM5a8BEbTs1LkL/Pvlm2fWHZyjiMw106C+2fDN0
S/oNzoQnqpH2uZw0SQaS5/xIFLlZmkoXnE/vVfdpysiGG9WYJ4lV9U9T6XWr5f1sRIpZZ8v3oISq
qMiBwZiSWscaUaVfxLZ7hzhwXpo2if69c1U0iLqt8aGo6CzfoQh6uXaYR/3nO6TMoX5/hyJnTLV8
hwrV0LdYyA/ou902+H+MnVlz20i6bf9KRz1f9EkAienGqX7gDE6iqMnyC0K2VZjnGb/+LtDV5aE6
3DfCwRAIkrJAIJH5fXuvXcZyk4h42iEOSFcaYI+n22ZXxdlKC4T2JJv6z72T4+vfbYpYK3c0jdIN
bmf6JLoSPQty0ldiFNUZMXzvlmpc78AmwxFVwmRlwc37MI7dCxJo+YddH+pEmd6bkmECCHmEoZx3
T45XnWvqmXkLcKHXs7c+LYMtvKwU/F3SF0cqc0RGzT/9tNkCeSZmWDZL1gG8uiz7EXcEMdBek5rn
RNXX3qCER9pG9jKh7rq+PV/aGlogjM7ZUTfydd70REb4Le/QnZDgF2ewv35A7+qWJFVLneP1LEsc
pUQLOm+VkY+KJ6/Grzu7KlDXVdVBJJh33F5y2+t0Wn6ggQBFP6JBBQlsk1S+cZLUN0/m/HDbDJLe
PEyES962bs/fXqGm9I9o+liQqbMI6/v83j4n4ygw0k1A6s3yBmDH6fpUAPp/CH0Ek7WKzuIGQrem
+sl07PiBdnrw9fkisZatqtUfoW3gNu++QBvnHob85d4vpLfzQQdt7SDJHuKeJkejiO6L3oslAOj2
TUBtWoFxVM+gU0lAa5NwM5RK/VwJ9cmv4h6kDkFZY+a8GBEZKpFqxce2KHsyQPQRav/oX1hjYMbO
/Hts5f1R1xrz3pgfpIZu0cjvxyg0Z6JYe0KCecD/h9ayknHlahPTim+vb+s63IiGJdvtudvbugAV
/hi26fa2edshwuodbL2x//YyCyWVVefpHeZN8z4pvfrO7pTltxdAlmFqFo2fv31MrVvltpkw9d3e
dNvRtuGwipPAw3LBB92eU5tsIOw6TN3bZpd75iYLC9QQgmwcxzdebJZ0h95BBHDbrMcxWEOqEbvb
phXnTw3trgtmKu8Bh/qmblrjpRh9DGzOVR0ieaJ1AYLfF38gwxLbqCpY0tyeuz2EYVYf8VxhW+a1
Ysr1jTdVhdt02StaYKznjqetVGFH137MjIvUPrXUFjDOEFfhgjHD8jrvzKs8vgoZipWgO7S+Pfd1
h1e86qOmHm5boBSNi5N9ur389kxoqMJl0vr950RJLlBFNMq6sroOI2lTv/p4qL5+BosL5Nrl9Ir5
xV5WDp3piNa/Og9AIbzXh29bnvd16zZWDVAuvu3rftj66323Qe6vV97eR8+pf9B6etXzAPjXK7/+
vnnfDNz5D+9zBh/1o9+7fj/GJ5yN8cmIvWubjt0OHEt8+vb87aevz5UDDbMeZQMv//Z0VjHSL27b
9dR9TnyE+eQznLzUyE+3n24PdTnCVNGSlgCxf+/wVBEO321LK9zlwk/3UU8O5deP+fYJXa2MazWa
2X3z598ebp/FpKBb/PaP//nX/34e/q//nl/yZPTz7B+4FS85PK36999M9bd/FF+fdr/8/puFutEx
HWlruhCYSA3VZP/nt2uY+bxa/T+ZaAIvGgrns4g0w/w4eAN+hXnp1a2qshFPBrrupxEDGj/fFmvU
xZzhTjNjnOJIL169ecoczNPodJ5QYzN7dCj97ePbXDvTuo4bDPLa20tuD3Za2susQu9bLpSwd5io
EBKQbPwoludqMvSvD+mkniVD657eMMcaWpI8o8ovtorqt4tvr7vtoOdGgGYegkwuQoqiRrYrM7s/
GVk6nG4/6X/9NL8CckrGNA7dacDS5ORpqtuEbX5fhEhpPTl+t+VkwjUCZ9z8+sgbzs9H3pK6aUrb
MXTb0nTb/vHIh8aIjs8PrS8VMa4nU0vzc9+K5Ey6xfwz7u2a/sb8TLk2RpLJkG0MoEPmhz+fjioH
bGBZeyeF5uYqlcIAeDPU905oVSAUeG7wTAM5qegCXH3/3i7a6nOZVC3pM8FziVz/LqQb/iy05yRu
2icd09Q1Rst9e9Zum+ikelgMb5uJSlNl0BXg+fN7DLwHaz+pK8z7rfGM1iJZTlaWHG57szz+7vOH
4rvPV3Th9m2F0dJTST31vAZYR92dqD7/+kA7+t8OtKkKznNL2iqWLyl/PNCtndlMWP3snYpIDy+G
43c7wn7qcFANUBYY+6Dl3Y7xt919Dha1zrL919cFdYtTGI7oPpBTdaSsgx825oRLzbElNHN+srNn
/fDtR8+T84+W9uerCsN870rmXaVfOC7MKn3d2c301jSLsaYePhEQsxGp1rptKu1Hw1Mvt/0pqxwq
5lqBk9MzzxV442Xd2dObV8ePAzXmR8aAnz4wQX5wFY6O0HA5JHBLJ2O4dJYVHNu+ON22gASOlz+f
7y7kPEPg64rMW3Q65EdkLvrKk99ewlsbmX19q6bIajUxP9nlESqPAHQICPtwuAqvfBwHVSXgraOW
ZDfz3+IrHyxrPbaGeBXQ/3eIhcyvm+YYnjM8rA+6TUhQmBspgam8+z996vz2SoeFcDs1/ueH4a++
DYef82KsQj9oftr81/Y9P7+l7/X/zu/661U/vudfj3nKv1++5BR+rvIaJcHPr/rhc/ntf/7vVm/N
2w8b66wJm/G+fa/G63vdJs2/h/H5lf+/O//xfvuUx7F4//23z3lLW5RPg9OS/fbnrnnYB+X03TU0
f/6fO+cj8ftvp/ch/Jz/7Q3vb3Xz+2+Kbf7T0lSGLpu7BoBplYGtf7/tUlX7nzjIpC24k9iGIa3f
/pHBPgt+/03X/mnhPzcY6uBqWPp8FdbYdNilyn8aui5NRxNC1aGyWb/9+0//8w729Tv7z3c0Q/xw
uRvCIl5FN2lwmarUNGH/dLlXOhCIDJruCe8yrp5erjqRYJlpB5JRa50CvXUJLIne2QrHrw/mXz+h
Aof1gnBh2U/ddozPUTeFnwOF5F6NFeDdlOhi7+h+yUxWJM/UoZ/8JF/Hjd1CAtJC7WSQXXdotDBf
9GnVPNhG1l9SOTta0DenSSdg7vJ7vaJCQ5FgA5ra+JzEtXwHbOB22Vh8tMJ6b2blQVhBla6MEe5F
a/X4Web+vYl4ZQPgI1ve2vlBO1y/+67/w5RAFT/OCTiCfHHknlmmpLOmm/pPcwIkXjNHpSAFysSk
thoThGWZUhFAFSCQb7Q6PaFTgfHIFHuhI7i8QHpgeZWGgJB8Ig/JkQrivWnSnNzYX+CKf7rd+G9T
BbT63T6mFxD7gXqkYj+uHMAwS65d9RjKNgeFFVESl511iEOgia1X6i+iDJVlY02LBjbkBwVe92gV
r7QvQ7ecbFAOaVlgrEzVLQ1fRO7wWpC4KNgBGyz8FGDLQ1NGLEhzLBG4o3atZihHWiUEvwX6cBEO
7mBv0BA+KEBzAK6zXo7J4QEvCNMu7/aBDnpE5/14yZ2D32ripMhhWGEd6q+3n0KIK0R6bmdP97Ip
Te25SSRqfc13PoPtXlsOKiCEjnQHNNJ4PBLmlgXtzzsLSOQUKdMhq8ccFdx0IB4lfbw99EhrK51E
aKAgKLU6WPOwvolNnCKgc3OYV+f7blQ+KV5hv0sb3Hc1wMkL6IXjplf/mJL6Yo9K85Y0sCphuqrP
HcgafLlD/3U4/WE0/X4y+fdLz9YtQntwtwmUo387cTShGw1BjepRnwpNLOHnN4tbFxUmSYQsOmGZ
PheTPVACOJ488QmDYL1MmJjsHROlRJt23SNwRm5+EfKZeUuifFrJqBuoHWEgoFxvm09Jp71yz5/J
KMlILzfp0goLSlge0EGGEbfaAo+TUqnaYzPdibBDh9QX+pOOKcfVPfxaney0p4iQG5eqGDhXuibg
LLog3Kt4k+xFYVqY+WEF9Ng3LADGfERqo+M0ZTYuge2Ko2en6lG1nn99+Vk/X32OYxiGBkNUN0xV
U82fxq9YBwhT6FRQvl59KhO4a6b2CMmZU5ymRBQnLUgRlDKBPgVREw7bBpEu7DZLXKkUOnQKiai3
SEu63p6zPg112FybhDEsmrI7Ufp8Q5p1siq1Yi3f5xc11rlURzt4I3wqpT7OAiA2AgsfxIwayyLw
/il9zQrUR4jUnUHACXH2K86llwAfmG1Cm6ruqyycCFqe+LDMJvMgCZdNGKefpymeEaXRtdNDYh60
XK6TvosuIsZ11JUA42nCUzEYMXjCZyxe2ghcYDCG2i7GwdXruniuMhSwRhh+UnCSrYBrpUfNkrtY
+N0pUfLRVaLm/VaAv9Xrbz8htnpHCo09nonPr78n+dP3pArNsYXNnctRVZPHn0ZJNR+Rcg+sqmeB
JQyZ8VX2TYpXPgIxUsdfiGIZFzZisgelMYcFfAY6LRIULd9+8ZKoRbKMvHCk5WfngIUVFzOM1mFQ
6mvffJimXl01dW5tDElff1SxHpdNcEhBQZwbWz6A38xddF6SSOrX0qfg7YXleNbNYtgHPj6tQt1R
n/HOptpPSKx5COw8OjpC3VmdxVNxa/6Xqbac1yzfVpOUCSCoGoYNe22+i/DDj1PtLAyIUeN3HcLk
S9bqIU0P0aGQpc5c2rkJhMWAAo+n9aHPwRwPnVptekk2p4ptesvoocNtC16gyaQXrsARlH9LoPKk
6S+mtY6j7Evj2MNOwbY9zxj9YWHPS2SA0tKdYLk8JaZRYJc16r2ap+UFBGe0TM3Y/Dw6r5ZfJp9A
00Yryv7+VqkwW4dIsE9JzkWDLGn8hPljMZR++rEoTI0CYd/tqTg694qCR66vjeGTlk5PumL9l5FT
an8/cBanEMwgYSB41OZJzffL8ClXTOpXzQHfc3I33OR69ZBkUF0b9ROEeHoeOs6tHDvaQxXLDkfc
SMVozncfNd1bksDpb5EYNFfWQS+w8rMVbuASEEtYrHqrd57SUIK8G+t+ORlmz0Ci5ztJeXlhDzEG
QFufHvFiBZtAiX0k/EEAYMSI6CuLeF36QAKcrBmOTiq4T1bRMZ6/lK61F0Hjd0+EqY0LDOT6epKj
D1fF9D79+nrTflzGzeeWY0gHRiCzO10aP4+LaSYzWFw9iEEbvDHq6/5qWyZB9TSptT7JXWBB2krr
TRidLGBXTs6tJZ5a73O41/F7QXmgD+ZVIrwQi4mUiRCWTWEmT6ZWb21yTZMFZct8T6ZbOS1zPxKb
X/8F8j/8BdwbVYZ1R5OqY88Vge++ZH0sEiYiRXqwBfO+tLHWYujKa5NqGpmkzlqREXYUo9mb0mnO
iWM/xhOpnNhbMLO21GMrk9OZLtJ0X4oe8CgkmDeyWPOF2lTZPdF5yRwDSIoI9iDYwQsEZ+VZA9MV
4lm/fHtgygIaRy0s8H4EYaox9CKhnL9OKK36Sa0dz3VGErpHnE5b+sP6OYDEukHxjXmnhHXoUyf4
9eExfjo8fLk6ujo8pAZmVQKIfrrxGUC8K6x2w1bCO1mFSjLcx8TALlEgBB91U544qvIPplMr0Wo1
0iqN0pnhF4/IMYy1XQAyCrBlrNIuYzPE3UWZH7W4kZJm3ISrdijBfbd+cTINPtbLW+1UJcDrsGII
kApN/VaXkCxqYMBXfAoGLhKjX+pW3RC8I5s3EGQbcxb6ICy7DGGEMEr16+li2DCvyWgTgBhtZhUO
mNdvmyB/9cPQYGG/7TWsGtbeZKtimYKr3d2+lXj+fjpcdk4JHPzXx1X/sdDE+cbaiokETnOG5XmZ
9eNpV0LuQlemDeQL9OruVh/SRz0gFASSRGc6y5rBeKXCa11S0+sR3+jFKvDryrUFheqmqaznKg4r
fFhR86hkHhwdBajL1NfpXWxEuzxBaq9p5kOUlOObQibfQkvBlWT4RxAdJ1R2DAJdSMJa5QhjPkwW
fGd+U+oORZ7eq064haR6vFVzs5TJwLx1q/t6NlC6Xx8OzfhpqDU4syybU4WBlkMj5/3fXYWKKROd
2Khyb6K+G7ZMWfzzKFcpdoMr3uwFgHzKQmYQx5scRcMCUlx+nqbqD1xD9qIXiQ6qgmhRTqnmirWW
pWUNE4p+hIVY8yXPdfNLOo3akuDLz18VB60yPnWJzP7LgKKynP7hdsufYlosmU3NYaKomT/dNRQx
8i3pJDh6ba9Su3zrhT69Dll1Bxky3Faz4swPYXAAycfAWzbAPfzUXxKCDd17sjVyPLgNLGqS0EmL
NEh6zlhB/PqAq6om5rnQ9/MCagX00ByVhqdkgnH7Q7475nCzBy8nF2pr4DBNMO5FhvPUI1Kvhos2
qrugObX5gx0WmzJUd5WlrioYPlip4aISGKWZ+2Ac9qUabhqRw5ctTpHl73RketHUPCB+A6TK/Vk7
8FZCdtVzMLRnUMl41NuPeaA/ESlfv8WyvNN8zw00NKa9fUpV7lSgjSvoEuCLXvuiXecxfUgtxmzm
b6LM/tDgi23CcDulJEh3mN3pQTTeMSvVk1reGaxZKkXfx4gVC2L+wiZfax1mJetJpz09SsZitUNc
VXLmpxxsLo2xCHescOEjEzqgEwhOHFMM4Ceu/FUfvzvRK1X1dHzSwxUQkVY/JJ5rFDsU6+WwHB7Q
OUafkYcBzRHp2QPp2ZV3yQVhOl0s5jOPlfFHj6MsYAEUeFvMpOugvq+Uu0E+Q6VRHQLDPgnlwcOE
29oHvcPSjOaSap5JcOQqkbvaXOKztOgq9sRMDB1kDGej280KF2w+7qKBLytgsTpoG/pML10Zu0JG
KxELt5D8hhqtdA+EWNybcDcKKJdGDnPOzB872mDqmG4LCWFJujCydkTrrvuI/AOmEruwi7bCqu/r
ZM4Vqln/SzcPLUhccGtBqk0FIJ4E6Fhdb4ruQGNzaVgffUW5BMCrLVhinn5KYKc7Ed3RVCK8JILb
4lbZJvYDlIKiG3aGDjEshlMuZMpMXTu3ob4JY4xSEx0++LoGQAE8x4ObIC721Y9MG/AKIVDSLsPk
AFRMFwUI+eoZmCgcj3rRQGKwwCwDvvvgE6pkTzCrg51svWNw8Xz/2Z/0ox+QLNfH/R9JSwXJwT/k
dy7R63O20zqxYYmsh9YDqYtgZRIzTN9jstUewGzuLP/g4cR9sVOyVYz9IJ9ASCEJZXpG/99f6vIt
VYJVqM+s8S8t1uzUtDbEI2BGMtZxSO6t+qHNQmpND51OBjaQL1JJdOom8rGpwLZz09oV/sfavHTN
I4pC+7n3CU5ouOPfh0qwGcN901BgWQfOXqGs3ARnTSPK64my90r30hX90a1mQTeXAE7dyQO/TsbP
uEhYPnqv5mvu7yU+TfWV+0VFpsRHeooQRvp60+DHTlQHf2zFfDSHCmSM8//FS5tVYwXLUAldHd5o
zvVBTMGqiB0+PF11cA8qcIgCDLXZ1Bcl1LZF/yxi72y1iIHfNXSpQyx2sTGS7k27eF7ies76phfX
w13cGHtfD/kT21VHFnPQRisOA2L6bYaKklrhGmVF3IRrumdLociVkbRgvrgMIPPGndw2TNB7Mbg6
p3/sUQYkmq0s91nZbaVqLCMzQ5rULc2Sip3TujBl1lbnrBTi8eIqOlgRGjr1xCzOraPibGfqxfRM
t9QgGeHbrRtt3/kw/wmNp2mBxlZu52JIn3LvTsRyvrR9JVspkU/sNZlT/VGVmxbLxFDiY3WxJqfB
fUX+MAZ6rDYoPUHlt9upRBu8ZcpT+cdCLIiu17gqpmPgfCQ4CVz/sxZ/JrNjbwLPykjGcYJka+jK
qpMgWhr/NODbDbwSIi0zxxGK6rrgojsMic3BrqLn1LJhFame95oZKRkyOT7qHncUkKD3ZBiUR5YH
tMnNZdKDMdTKlBVNYN6noSB6F4Azt6h466QduMTiLrK9YVOhZtr2SiLdslPblTFVn2LCci6havYP
zoCQJWJpG2HuXBad9Fys8yHMmHSvi0pei3gEyOMJFySS5SqZDQslCgR82YDasBNCtQZ9UVqOqzvW
Vu1E+SG1AYICVYLLlTuxW9CiQynVvVLiU6mF3jlCtBs51oT32ArsLWOLprD60LAGcfGf4dYGsfdB
mBhKRwQUJ5FmNNegpt5eVtidtR+VCJbU/C5/SJkMkmJ16BqFEqo1cIMZD5EWNC89LZIjcbGEtEX9
sz6Y6X0+MNNl8ua4gya7D5LVSl/35tNgT9Mp76W6SDCLfOiRxawGrc1daqXnQajDtSauCHsB7ZsW
1KceclbcUq1uD3rU2SQlRqfb8zm6AjBrPkoM6qWatSUDk/lQPWzFWLiyI/kp8qORqxOTvvHXJ1UG
wmVN44jV8UcPodHaVjx1BSEjX1RtJNamH7/dQrRuv/P2xtvD7blvm7e9354bTXub+lzgKC1yYLyh
oEqfmsWSLBTYvfqcdkVLi8VbitoKu1cM9M6q4CKnZoZWaN51C8e6PQRZyv/k9mOGyp+InNqE/d4S
HBnNeXGekihbLdSBT2VboG+bpG3WOVmhOA/dqLo3+fA06Pcdsp3BhPxMukqjDhvm2Kzq/PXkYUsg
AaWDdWUC1Mz95txrOjfWehVlyNjAheBw3Mi8dwVtVkV7bQVzIvXUWxZiP/VM9gkARKJPSJQaYVQH
HyMg0eQ7YfNINpoqoAbIjQzGx7zU3T7lK4AugWiEgdO51vmEfzzYlhmmxY4Bw9HQfFWYr+N9Lufa
d7XlYO7qkrlAvZ2Hq1xaUAm0Vap2CxN7C+izk1bl61oegFgeRy3cdHq0BvbGIFhDZZFbC+tH3SUr
n74G2nS0/P2O5tGKwt46D8yt5PpNUEwgYUE+BFlQxts0UreKJ7dFQUo4+M3Y9QvzY2E0BzLrN05b
roqOOK4oOk2T4mKv4b6qwBTHuyEBzwzybkT6OzjDkrnv3ei0+64p96mSnaTQH7qpeitZzlbVS9Jy
n/KmZ9+aPhnJUwt2hdn50UKH2IFpx09zFyjNKQ+LS2i2rp+fWRxuG8gm85fXdvZKYeDrgIsSkXns
a+4aqOcrSPCjZW208bEbkk1q1CtaMmsj7Tdpo63HTlur6DIdMvkKWD5eF4MyIC880+7oTBINEH9w
ovEhz5qdmtVbUFuBb2wdhztyDUwj3STvMYBJi2s2HoA91OSt4LuMW/1oVdomgHcihmVgN3uKtm6Y
FHuLAc0gOmDE+1vp9kaps/28Gs6ZVxgO5J9inWIzbmDKZylATKZDgLY17ZU17iIyyLvCcSbbapXb
6kLoYt123bbNibAZ90qmrwyw1eNor2wBqwgXjB9sTa/bWqnYkCC4N0CmVR/Iub2UJsEXfMO+yBFo
DJtEHzaijx5U/oO94BIiFCbKU66yLYxpLJPxwRptzDSQHoDFOgVDg4pimn75/Ge3w0Qcy7NghqHm
EeT2bG3B1hYEeNNmWpmY27p5tmr3GxWdoqkPh9xUVlkMUAgMR9VeJohhWeSsGhC0OvNvo0aTl2Bq
CLSlN8lNwZqvV1j3spyFnkKkHad1VFEg2pIcuramnqMXu2a84iuFV+WTfyC2CgYJBy85B+CKLPJQ
lfmxQzlpknqihc42Z3LPDNUl9rr0dpjcT5M/zoiWpWWoT6yMXDNtDnDnNkB11ozT66kX+2kYNqZ2
Twd73xfDutG6Vdl+dCxrwQJ5NaJpdzzrPIrggRXFB5E3dwUZEGm+pKx9Z3rY7GXF1Z4/5UAkKeLt
hMxPfsd/udO2Vv+Ql+Gu1RGlJ+k2VchXowvph+NOw18zTOpmbOiRoFYIwcxW3jJCL99NE728e0Uw
TNUG6jDuscBsc7D5RqUBmuxBhMR7W/eveVMcjeYFvf4xwj6tpZu5jyYnC+8055oOKD+x92ob7THv
M+kxifqSO272iP7wkGT9YymnLWl9+y5/NofM7aLp6k/D58SsXJQFB1g/F76hziLUxzNgHukuYeeu
TmuOb/MQ4MhHtOBt+1i9BDHY5Hjga622UkfzpWE5nvx1p0ZrvBW8+dM8z9e0YkclfaXJduvFyg5S
CBqtTcn46zsKmDtGmKJbK6Fcp2qyTZkgpcMGhcS6IjEoYQiMrHtaLGu1VN5Kx9s5U3IwFQ/oaL0x
E67/nO+RsXlM6qVA9T3BGgkAqsj9sGi88o121GtZSaI6x1NLgPDoZdxL9gnsNW4v6wFdsIn7U+kZ
EeutVYnFNMCUTj7onCA4OuvaWvV9tKmscZ/3+l023kFcee/7B5lFF1arC1ln1zEw3NB2B1PfUqcq
ZXwsRuGi/CXv0VhZ4pOozB2x2q5DZysnEZQCwtpojG2Zx2sMQyvFhhNZX03LvyOQbJ8WvUv/fmVg
qDIsvCXaMZIsCqhi0dGRdGQ2Hq2o2UmlS9Tb3Q7BzNZPOYFpPNmy+FiRyRqC84aLnZikacXqZuix
jnr6olPAowriv4ho0PM5KaA5lQ7WMRSltBGTkzMgQxFir0kw9E6wlDSVaCu8dF3wBO/uIYAIuvBA
S0sIX9F5ZOIhqTcQqbAr0+iR+eC9LOU1ljQ/0OflzhUtwZ1BhFM6nH1vb/fcD3EUfxS+vjaLo9mT
fADJcDPEd3b15HzC+R6xDFWNbRU9oi7Pk60t6pMIzQ0+iKMI8yfFSq+1Wiwzi8iMZDowIGNbtPey
ST8kqvWls/xXSXBlLaJ9UAWbJMmP8/1vKNv9XGsATYLMtNlZJv+ZQJ5Uw7pmbX8Y6oeCkUNZZ362
hqS1VMHkdsSCh4mxqx+kUrs5LEGQf1s5Na7RJ1cLuKNZ9m4bQBW3g0ezflWjCSzc6GpN7goxUgFp
NmEdr6YZ1md0e6No3DRdC4+1ZVAvRy+8a4LsedS6Mz2LjdLRx9GgKXjTfkjvkWvt0uE1152jOuVY
tpOdofk7VSSbwDLXcUK8F5NNS39OHivgkIURr2ztkJHaI4MIYp+fP03SvBt6UmuM8ERow4IE723c
x7sOTVCk2ueYX11NmEdZ5IQp1DyDYEtt1QXcPhMqJJm2o0xzRs94pbXtVkF3LRTcZ6DabBHsrCsB
ZDIjI97D617qYiMKb01BfZ+RSCnHkDPPAVKVgvqKWZ4rj4rinQJF3RVTs7N9PCB4uXrPe1RU+1lz
9Au9s2szmEiR47PUIwrz5qIjcSRSmvs0dU6pHuwmvdljcV+hVNzZUYRXTL0U83oZzoJnTBdSv3bI
7s6+mj2N3nQfR9MR/W+iNBcrko9oK8iaYA6X6K7sWQWVXGAUqux602LR7y3/2oKdwA98tDXDRXhm
d+Ye+8ZWxSCGDOsJk8qz7aFRRbBaUw3w4QOYq27ot6kYDknm72prOBA37/aDWEoM42oXc9+HKDt5
uzlOANP3K2zzFyro96nwnmo1v9Y2c695pAzFKWXNOObilZHy2WFWZ5TeKlWwJNGgcbz61Zy8i++3
Ll6gHUt9La/3cQkYFwWxHfwBO+MtRF0zFe2lzvJt2DGvCIqTqkXrotyJPlt1frvzneChpa1c5nIf
Q7UXBVaX0rqiP+JT8LxZ+RlQ7hqNwyKJcEeZu74UmzYCJpLaq3hMzhVBMXWo3ldRvfQGYx3lQC2B
/2IxuvpZ8DELrL3JVH8+xUXkAxDs3Lht12pvXdtSHgbdxSi+J+jmYDr9IUmSi22Zh5pF4TA8CW6N
bVYiGNfPVAk/I5PfFyW1CLxUyrA0ELurXF5OqW50C+yOVh3bSHPpIybtc6FZri39a2/Uu9azDlSQ
azwq3AKYpZc9w4wWLQBgrxzrtbL1TTMWR7QB+w7icTsmVOcbKFMR6XnBCyFhH2SsP1i+tVUIIacL
d1dYj4ltHKw2POW25pL4fqR1duoMC6i6RwK3svPG7Ygj2BrwJdjoxtVtp5vrDImeAy/Q+jzQ8Rh7
fU0u4bKLojWOybvWF1iFOZm5Sicd3YmOyYc29hxilxfbBKs5fcCHVlgHPzPAhgFNUYhJIjbGN19y
09oXwbDFtrR1XlQ5HbyhhLBGboOd7BMxkfZQnCsH4hoLWdZ4yyiiXmcSDDQOZ91m1I62oWDSOlH9
CKcDXc5nwEf7voUvUfpcV0wBFY15TuOiKqaroO5j5NzjxjLMHTWcLFnq3EJDY6OSNjU2JVcNACPm
zpZ6sZqekMqW20p7Qs4Mz5RTuPbx0BJ7oetfuqw50BK7xpQpavheuqctcyKPoD/eWTrenERlnO7f
u8FigHXQNyW7Nl4bw3MipJukE3C++NSGHXU4gvzKoNw5ZGT3aX6vTPaTZVlXWq0XtVc2oxpf8aT2
MDZTcK+Dv+iaeK9EPQt3qs2pSjLVbEXTj+Cx1nFBEkbKXLuWe5MY7i6drqoT3bEWPyd+cJTt4Irq
bQiDY+fJ1zEdH41W+2w12s6U4w4D4BHn4E7vWnL/rF0X4hscjX2kvihtt7RTBjH+gAKiX9sijItq
Rqrm4GK/PVgyPVhaQb+DOEkFFC1pC0mSHbEQ7BRBv3/4ACD7HlPsK4EjH8IWgKGHaY81xhbNBqjr
xTAw3xrWxR+tMayK8c6i6KYjZi6ZTJQMeyT2bC0ZbZsZpaO1Z8eck3OpK5TKru7gSunvSvpHLcki
AoCVMHOrOfVMULz4ngxKHYq1HXxS0r16o2rtzrIJtBH40ZkEk+5+iO9Lmb/R/HNtJecsdNB8iVUe
PnMNHhigLlpb78JcvYY9i5/YPosxY/FIcp1OPVIBn2msrUzd+f6w0wZqSBm3Injh+dQdI0fdGerb
AIDIitOT19THuGeyMuLJwurnVRRQ/h9d59XcNrAm0V+EKuTwCkYxKQf7BWVbMsIAGKRB+vV7APte
127VvrBIiJYsigRm+uvuU4JyKDRoRxohEq7E9lbF97Sroor+V1pZ1ZDAUegV68H18f9RUVbpZv3q
eqPaiirgvBtD6kn+j9xTLzjz9Z+vN+AFoyrqj56OajyYCVJAm6BCeHCJWWgyCZBtWiIrcFNFsg01
Ci63BOj+HlvvlQXGgz9PxK2PDpnGdDsZPaYgMc3lqabWS9DlXrJj8ccTi/D6RIEhmHCFnqQT497R
gsUbFZPTiVLZvzdV5lHz+OcxmsGysPrP1yOsD5g9KV5cDtlBWp2UV/Hsf09ZD67/+O/3+fct5pa0
Q9PmLTFSXo1V/FlfpmKgNLkoM87IK/Xd694JJxJfokDrtN5kkuZEmyskTfMg3v+B7dd7Od4tXjqw
jij972p50VZS+3oP8mV50vq4ussjlpqLwvbvrzyVfb1jMveZU3GAIyEfUVAIpW0RGXht129AqIJX
9M/3Wr6172S/Ig99Hi82f7K62mA8DO6a5Y9DOqw4rU9d763HasP30JdmRmEZrIXlW/x7xnpvPZZh
SiHtsXx5/bdZm3ls3QTIZl7rbuDPE9nLa91RhbunZPVJ67UgnLPp1lftoZrqvSIL46EbRWBOh85C
cUjD4XfHPqmY6l3Q9xtASewPjIPdghR0ChJo40ENaqeDgxPj9FJPwU+tukbGbgXq3TfZtB+WzHH/
Gwfdg2W27MoIYKKJ64uuIGCiAfRmAjjPd7pqzwVoszjtto6HAiRORkzMsc92E+N9RmB3c+E9GtQ8
MZ09WHcpg9C0NfjDlA9yNs+Vnpyp8b/mjU5bOTUd1gbqcQ/BWE3uHbnfPY2zx1jFJ+jcO0qwthr0
QnkeqpioP+9K0vwVQSo6Ps7EbG7CwyI/+b8dbT9E8tyPC/Srkc+YAE6KmutOVfvUco7NIc/S7VKQ
KtKJnJcKNV4PCAkHBvHnppkvksWDXmRHsw1OtvYt6t1HK2EF238uLwNRgZ1biG05AIPJ0egoFI46
kxIhf4/p8TD4ioXxV6s3hyQjswfrwJ6hEiQ72KROz6qRuD5kuDBy8q1lxDQjaBsIN2y74mPlgL1h
6SEwt1Y1heNzwYhj92lo9V7M7AHkfAEou03ACw8xK7nJP9RUfCojO9BsusN3FuIFCf1e7iukTHgR
h3hItn7zErG7EllLT2CGrwg/pubcTb57n1nM5qsnyxtf9GI+2iJ96eweqT7fTjN728R4zOr0suwc
CT7zIvGS9zbFOCWdAXpH1SWpJhntvHFZQDI6mRlp2eDI+gFcDKnJIOeKYRwEUlrVLp4mZ5uxAhIM
WvVaWxItG0o1AXBQcV+W+4Rfr5f1ZjGkMrI5utp7C6UCTsuWE/RGJC+G/2SwR+nLYDtYwS4Z+21x
pTUpj0JSHlBogFBOYCfLY6o9wY0L2TNs0+IzdT7c/LfVWRvTZ+FOsXYElFWUe7er9rQsHitKHrVc
bVP8g1GN+Fz1LNbrnU5TSWpJkvLDFm/W1qMWkPh5HAw0XlMDP8fsmylfomJ19jACTzT685vp1AjI
uDqbFNd6o7tbEASaUNvScXdDdGNKmHgomaJ7KKP6W0pCu+WHZVG/SwOaVYTzY5YMPxanvV+HWUTv
eSS2+gz5j0tKjKSn5h81cpPH7MvFhGBAV+3ob0UXj7MXNAS42CA4mVy6DKDjIITogYiQozNDpwjG
UNnMxTWKiQdIzjaVvaqD4zBiBJ5OXuL9ZPOGxU87EKx581KP4El8cnqmBJWJbxbsLgwrjZO1gb9S
o3IeCzLqMX2knrnNYqDUByiNoES95mrGPsiFeVcliiHl1U/ELgMSSt0hmhyuKgcbgLyksdhSqMcl
eoC2EexnN3pgHrezwDzyw3fwIEItu+B0PfpafEgCdEoMrwJXcccOSfW/LL7p1MS7BAXUqqCOBaDL
IFoJH3BJ1x4Cxixe72wn0F99NG+xGYts52X1PmjM4zhRulk39DrybsMmsbBXNSYU7UBf+QRoAsZF
T6++MX/p6mdh0O3Bj+552VR+V9inGGanMWUMQADBo4R2cXVMaR/0hDrOaXfXVKxDFg5m9HuCUloY
OsoZ7YElf1PCRhge5vt5Ko4SIjMhoZ3HRHk0kksgpl2LVmw7LKM4H2foRXn+W1EvPDJ89OvumLCf
UFF76lsW3NaZfmH0ULlJaAGqyuAWex/0TGylTYt0VB2j6M0pKgb43p6k812C0znnkuH0bhgNzDw1
anfwrEiQkbanbTVOlW1gkx8w4TcB+qYJGtrdrs6DAzvsUzzJg1/9AqsQdlYQKnBnhteEeHdVvZsG
hJOCrgP9JdEddG/9VNf+3maUqsb4ZLQda937KHMeDY9pRF09t64AE13DzKmtcPIZFp8L1CsxB4c4
qndixqKZvknd2WtBt6sytG9OnlEgjoYCelDh9K8f7LHZVNSr9hAKNeitBvE5Mxh2iDScc6Ez8X93
ZxYpIGFcxz9Pbr9p2FnCPglpSD4UnHjzxOI94B9mXMYpI5+B9Pck423p3Sv2oXXsgknJHqmlPqdu
gmygb2lHIRJv7YI5QAK12QZUxxznT9B6G2+SG3fGi9+ixpgxCqbxqEGGSpR5h43td0KV2PRsVf28
oXaDAZRzUon15ljdrujjO5tXOs0BfRMQKcxrbMV3BmcQrZk+KpW+jl35YNnyI5Z4+rrmlHnlXSn8
D8azG1lwRtTZfSw7YlfEqHUWaQoS/vxitnmTCbM0Luku1KAes1NlPMy0chmUwqXQ+aDkZOn0nAT9
NzN1PueGXZB0Xul63DgV5rx5di6JqT+1mkt+pdikNmBFdnfWozDyG3UcLGxY6vQjOzxADBP1nFRR
xVAPI8O5b6L4m9S0F4x7uKTUS1vS2pF6RzNV+4UXHjn7wiOmTgMlVb0QtQjOYEDA0fo8753IfBjG
9FzLeYsAtJP084Ouod5h3LHl3EYI5oAeQDwkBz+6VD6XblvbNtAhpBGcp0w/LS+DOd0lOnrFwJf5
46dmxtgZH37zCNDnrvfuYsUKIU6wPFSXZOJi0WdXnJZXTofLx35fQBnppwd0sI3FSCUep6OmvHtY
2XdxKnBnaXfC7E61RDRxr2idrwT0LmXgnUv62IchDVXm37IkOjc647AKSouKDvVMbjg4TTIjMaru
fB9xMeZqZ/m7Bjl8QPgWWcBK8pJp3wdLD0cyGznNtJHL6oJdjxJtWNq/SFmRPwQLXf1S/vMkHzzj
rWCFTm992O50mpe95oN8sTE/QIPCnIDvZoIzi8CSnSPvUfa/Z/uhPmoJicavgv0Xe83Q7ilHVy8W
NVHmkWboOqMw9s3SsDTdTW9GBLdu27yY6SZ37vQvKmTu5Qdp7bnatljJ9U3w0/4RvHNOKcCKhbR+
3JxNfWeH4wueABYZdFEMDNqfFadKO6SFRDH7CBO1GX73fbhwlgB0uWyi3azhejd0D8IjM6t6YZ9n
349vNCNXW8IGxosSw3M6UHqs6SXnGNk9IRVTrj0WWHxdSGppbLpMcrDb8YPM0J2wqwKFU4RYKDI0
6qQ8dkkOf215mKfZdGxK/lN2rl9ipbzPVurPThGPN+ip9a86Uay8AFEMu2lsytA2aFEYAVrxYeh2
g1Np55oC2yIYCLiiX3ZbW3NYpJapt88ES1vRCCKjaMvRXvSW3ECQmx7KkYG6PY0PjkfVfV8Cp8li
UXLWo38kmM1LrqO5DXPi7/weHmvAOe1VTBMx4kkalyAhAiZBr4X0zBmX5L832uQezcJgzxJNuP9p
597Sieux2KrkdT0myqI9RmpuDoY71xctIbgja3P6borqrp0L3kij8UKdl3hcfTVmYLysh4RRbaeu
jPgYMajW3VpuGqXLW4ovliuhdjbRLm/rjZ0IKkccrELGxa1ieSH/ON2apUXEXIpGZi9CRant7+sh
psLsY4v01svJup81BNzlL7P+tdhPsncVfPjjedrXSzxJZ226JV4XH8dOG58z+u3agnla6jNzWf/l
elNlP1LDtB4j4bShmvRgT6NRc4m8HD7Scs/RmgtAqlvtCnCUy3fGhILKYKhm5+rVl5bpzrPqIHAU
MsEwzbrxaqcss5dYpOaI8Zr05J3MJQ+sZMS+evbOA+EO+Fgye6x0LdpUA2N2z6ooMfdZwfVBwbMp
7ieIpXfpUsdWzD9E8sN2J+1brc/QscrApoUTAgluhzM9ZrukKKon3Wqia2NbTZibo0VXJwPyIf3C
zRLCdc7p6eaeHBp6ezrXRqkKHvXRcI5sH9pnNllQr7K5+DX40ZNtOizifEPbtnZ/0prCumQ9mn1N
4OhBWHyytJYJT7s8DKbyrup1+yHyaHByupa6Z02GrAoFQXp7+gACjG491MPFU0n2ruXfg0aY17LJ
e3wxuXtXqIUYPsQDrb9ediaqaRjK/aQkxmTiG2H9nIeC16SxyzthAEChNGWaHXGJde1B7yB0kzuv
zoZHDxTVQO0WbEy66wbw4uCOHgg8wK9XUGIYw3yOyYTGrfHZSjPtZOiyKqhEcbND7Gi/GaQsfEDr
Uw7iKnWssI1C1CqOXpckV59yu+sMPrUqYJSZJLqKbabEvdYEziHt0uHsuDCmyfCnP6vqfmavx5Cf
/r/1bVK7+2DM8mdb9XzKx6AJxVQmVwSG+ArRwdmnT2j+chdg3L40qPEXkTRiBxjgu2s3ikYeambC
YBgwoyGiCZnz42FRMpg3sgd35EwW9dbrMOQTXVCUdVmFOox2xUAXOcq1pf07McwDUpK3wE2isJwK
ixKinhn58s6mFT/zsVe3pvWKRj4UwxNQn10x5+Yz3BAAE5FDPSa1mTEciDDyBuctMU3MUz1g0cCu
jcNsWD4X65Ixtw1xt1BG/xKXkXNvStTNIBleOiZAoTGVFX1BIChZYT7gMXJudPz1LySySQlIL0YQ
EP3WpR/xHD8JTiDUaWXl1YuT4cdo0MmoF6p+tUqmaE05cgGiQWujbJtrTMw7uNWP+qwyeOm8I1ul
Dw9ui8HMqcBPRtQJYS4Q8Yut4x2m1dP9tNktoHwnP5uGy1TRAjxsNAExJxpShFwjP2m0C13LsQ52
C7rueQbKynZY4nNxyLJKh+Jn1i1XUsghSlh7L2PR3asC0E5HSy3NxSUt/jje0FqbIdnQpYZbZokE
q2nCgIHDGEohs5OlnNA1Yp/J3aSH2RJmWG/0mNra1u2mzeRjDLOaHu2Ev1MWZPI5Xj49s+eDOAUz
QbwkZs28tLgupYOk+wh0Rln1GON0iSuVA95ZfrJnUswtdVN+LwJMFSasQBi2zCuW+kJhTfF1GEZM
ujNQHC1o5a3tEjipFEi9dGBpozIguLnc2Dr1ttSuVvsiDYyQdvv0RKl09jjM5rscB1hxWdtC62YW
qiuGd+lI3tJsWVGsORkCymLbdGyrOZt/1INjv9sgBLdV6hn3TtwORyAmf84AZheRP50pNkn6RNKM
IfAuKPuWzfO4NRskzDXQBvR7ZtMBSmTJtK2H1pvep/Wx0PWL50TiVNrqFzEVVtsMaFlppqey5DyI
cnK28PE3IapjdJ40NoGRpdTmTyeFN49yy4SFVYk5AgrW0vqUuFF+ptyPGBIVXO95GuNSKrLPTNnf
euX++JPfLkwNFtJSnupr7ni1HOfBXbpW1xtO5DFEVEs7dtgNj4nrlvTCiQcdesICK2Qg4DrtE2LV
oZjob7HyBCdhZmR7aU4SBg3WDlaBs71z055tTjS5ARUR2YVyAU5wgUv1d7pGXI2J16r2S6q8lhv6
ppGBHPJ81fT30KgMgmoD63BWfDuPEozvjl3NW4ryi2uOBfTCz4Uz6DkBQ9jIOOIj1bL+u9FUim5/
sz4MVK9/xyVUYx5Vtq7teIuZ5cmJJnJSTXfIcNQ4zZhfdab7NAOV+XV9uN5jeqLhtDSP/w4poiZb
wlP2kiAwLqOt9Ivq7L83miWBvSZeuddsb1Kh1y7+19Gop1Mrsi1c4vJSLTcGlMGDo/mP6yHKI/8e
X+/9PWaC2hbFiXIWrpMlhYYJu4nCcuorDqUW47vT14ymedxpknRLDmeiaGqAE017L2bmw+sNZNaE
zUKDgvSfQ+szvOW45Pnrcasp27tB0mXdR2X/XFGqIFJneFwfmcT4tlJ60K9oG3vy3Z9FYdb3PjvI
yZI4mJYbrn72Jmg0yNjLQ7E8I+IZPXH9LXk3ecwrlhyVCSeKWjPvW2oi6OBeKB/cvnTv6yCnD3v5
Av2DBvzb4sttNBtgnl5f+qnBkzcm+X3sNReMOd6xMZG7DJaST60w9KdhWVD7Vdef5uWYlchyaRCI
BaPJGPkMYxzbpAXJ5zp1frHEcE1Kw3qwW8O/wy5JFUOPzTwezR35r+ixs1g7Kj/r77yEadZ6LKFN
+VIF03VdwdI5aVxEY/Eh1qdPIuwqIGEQm9q+dKvxmpnZG0kCe7/gYlnfo4lge98Oo+23G9t+60f4
j8PcxcylOoPMrxC7AG3k7KWN9uDoPUjgyFY/02x+bGK9e6WRqzjav0wBqcOlF/K+mbwS4bux3/XM
//C4Bp3oA5Zbu6vK/aTYi+JIsl6DKP3vw3Rry7Gg9NwKu0L2tzWpFhjBzjFi608QWU/Lr8xAzaa+
hihVUryYObO60BeTxunGVNTaKU7xbKRxU/sCO7xpQqShfYYrTvoW2zA+FCieQ48PjxVsEd1NvC8W
v0579XKTIlFNtCiZLBhywPCvRR+apCPDgbjgry7IFqiZTbuyRdH4MH7DPz1vAjmzSB0UU2aV9ae8
UuU1skFytip7EoUr36WFDOnnZXROl4eijSgfSrEPU7wWOnNnvprzQ1kN88sahedBYptvlpdHj3kR
4XAsC3mEkpC8pVN2zRcliDihd0pTPXvC+ghMe2FVMLrG++A/M4L2Smv6882C6GGqDP/Azq7eJyNZ
RbMsq5tGs/5xAL1OvIMq6UnXxZEOguqW407ftUGQPs0lwmmiZvRpGWhXv6qetd43HyzNGV6rRoTr
7yZgAVAADcxCsZ5txrJ6X7Dth3kQkBbcll9XfMdqa+7FhOzq6ToLd7cU5r0xX/FgpfDkmed4SwlV
3cG9WO/F8cwIJ8DimHU9vQ2mwv1JIRhMIo9Wny6gQEgrTTyDirbWqjS3dYwlWQ8EzRvLsSaoqirM
egJHTfYs27g+/7vxiRT8eWjUoCa1osDCujyFpqo0ZJNh74fCGOShyuiI1AsyMvC/FgZuau79xB/O
61Uhltpwouz6IpdrhF53lRlqk3E/jHFxdCLHOdfGwNxHony2NtllbzlmVA05Fd0WL170vNYVdGVj
bEbfGG4RbYtnoZ0mVmJHCtLKg3KofVXezMy5TX769k6r9WiLJisPRlNar5XZFzs58Mz1rZMzBt4k
GtZqV0e2XBqQG9n/vXH9PDo7TbGzmRpA7vRaPH5tFU+4GmKqqWWjkOudDl52XSCsvQWy07KXytQL
8Ft2SfopzW695exL0jOPs5G1jzUNgLfufx2ag+bOq3hH9K682Qs/JdNE9Gh5c3y0xzjfrMfWG174
F3Nm7aWVdr5Ll82TWG68pO7vdIHbRCsn68GJZv0MLAwIjjVc0wkfYOPfBgaxVzYH45/Dk8Azrqjc
mjP0ncmVUbOLIS8diHdzrZczgWKVOmQqB0q/Zh2kN4GSmu7L+cn3GSwZPtKOXM6PTYCCPVR2ch1b
7ytP6vydKVRB+X9aPGjWEr/wohRxMP2a8akcbc9MH+kcIVUFDAjYxIsuCCCNgbinnbmAMa3YwXKZ
xaBmlY/m4nQ0BvsKBvn4pxWj8los35pFgU2R08tueJJJlwCIPjoMgpLFK6svdYdsDptzZPPpU6xl
vNZ0P+nnIsQxlz/njlp3QqSo2XN9YnqTfng90mhZzy+cj6kYrPXfbSmyD/4dkW0tduyjmyfZdkys
J76De9Rd+Cdb4WI1jNryK8EvWIcD59ez61qPfYcxYn3E4gcaZe7+WEt21io+i1TNIW1tcMj/reer
PXJzZZM+GfE3vYmLp2Tp4M0UTGJKI/39+nAOSh+bUPLIbiCg8eW9quPpwAC7x9Bvxd9Ebj/SPK2e
3MQHeOZYgLg8vzuTt2iZktBPZGfI+OsLud5QKVtuA5BtoWgRoNctYETPCiE0DXTo1EEK+rNUDiyk
JnMcvXdnjO7iMalosF120ShItO4kkmyBiOaH9V5WV/rDmKQcq+OPxJXu0WN3dZI18SKZwGjym/QL
O/lLm/fTd1igoB46g49cVLBNoXdi68uyv3m+HoRr1J6LQMr8HKzHTlZPbmfoD5S1szvV28v6aHQM
vG4q9jZWPxg7Wp/oZbH68gHeRU96ZqG0zqo5+lMP3XG9kMNJv5iiQ5Xxm00xmN6DYyf+w9gAbJiq
Fswzh9Yb+l3wile0E0VR6Vyaen5FXSaClEzikswyOcX94B8hWAxXz28olNX1AZFccKUWRfamSsqK
9Tjaxixp7xvZto92waCgLIyAQPMUbZu4TW7SLqKdo1fOYx5Y1MPWkfZq2SiqRjCY30ukoWxyva/B
hIM80lFkTFXy5GR4w0EQ/Y77xbsCTXvoTWAGbqle3ZyVYdT2XNh8ZyCmYB5jtr8nesfLw9j1Nmvl
oTzIhZq13puXY8ny1Xh07Ov/+zwpaUeejSNxE+vdaOYnFLfycSK0T6aNCoVY2Ckb/GomeT6n27gy
5mdZqL/3kv8eW7/673nSbZ2TdElurk+Zl2/w5x4slyebstm+TH63a++pbur9bmpQ2akSF0+DFXGq
SOtur0r7R1rbznkt2mFq4IB29p8Ho2Icjmdpq3IW2nQMTMf1lFNZGEpV5Fs4utzqmUzYLJvmGjhI
oFQWWa/rQ2952C2FENgdWLIKCmv7iNxEwg7mQ1P8llmDSW7giknN5XOjfOeuXoJ6GosIsR17OZy1
MYawGRk19ra14Wq9GVGzG6Q9SbPCqZzT36uWSES49kSL1xFdUrjAMGrdyXcUCez/SHq5yQzQKrtr
Q/PTd5p9AuyumfVcjO28S/zCumqFUhTsAG0KCl/dcloNdo4a9JeqBkihg9T60WDNhSTyzMhGvnYG
udoqdaLnxmhYd0qGpcoXVGnrEnsW58XnZEwANTtd/2ZO7lt+rxVO/E3rSnmaqQjbrg+Hmt8agL1x
G8lhPpuOA1mTqOooU3GEDzXve6OfDpVo6m8GOBau6dMrAJPy0gSo8rQ6Vt+KJgnCzFUzA6HA2IIs
JuSaO+5l9MZ5PxuATe2udy8zYmkf2iDnT3pc7a2O9iRnuakpYgs7CWS7qFrvmlea2iuIk8kepAws
LzEyFXTkXa1cTmycqbGjV7pk1U9i44+g2XhuGJuIylaf4+VYRGk7IvNSNhrX9UWxdqaY3WogmIEn
+XQYDCYKf5U9mzat0WLKlzpwbNaDw2xFu76dcFZvzK41t3Lo6jMdOvWZXyOgWHu520g7OZitZtYk
382UHAO6MTsimoin6rUclH5YD603/5Rl00rUHn9wHNKIMdRhagn9nA0ecXBwG2eqp4NMnRGP+ho8
NEfWJ6w3OIun0JwFY8K5sGnynqiHLix64DnjUb4Gq0SFbrFEpYvlLlxU67I+HmL2FQVu7qVi9Bjo
wa1j1c+ndMjNK2c5H062cnaxsNIl9GFTfOQ1z6J9i5JIJRvYUPTStm9/RCwH1vLySIxF+wizoNsD
grVhJ/cILzTf/VHiqQco9k0GTbZdtkUqQYVfvwpfiIaP5at/HprMGII87g9r5Sp5q43nddV9sXz3
9RBk142dZ9X9+mht31ielZkjztpmfpS2yG6JwVRsiFXyTUSUlDB6tdkxBOoD3ANdMe0DqPSfeWw6
uIP1nrG1pjMahxLM2rcE/zXpb3bdk0gLBoNP0PJVhO/QI1BAIHSgQldLP6LZZU+m+S/UIcp7HUkH
bNVy3OUf4ehDuI53f14krZU5cCwer/9hfzI8rP3oCLVOnD+Ltf88cX3c6umOCkWNpSuwqfXmH1nq
37EGEpJOk9V+xvSGrcDG3wMstwGai2P8e63gRwPTHReqLqdZPi4TEoNkfqV7ZkKaGvEzKA/6QuUt
wfOSBH4LwPX6KdxeTQVzWM53Y8PyOwZ4p7oBi0bLZtlwlz5AyrfQf/et9ov1JdNP+MB51Jylne2p
xz9gSmp3c2M8KGA6od0QgwrG1t+4fn1TlfWYLwRiBxSxpWKHvGP9rlmsb4EVL4I6Fhu2eHicAs26
59JP4pTVOydhI69+EK1qL7oJnrKpzVeVUYqnVYohokQowb4bRBHD6wTMJacb+rKYUBGhAbDcy6DA
uSl+kJR5YpAMggsWM9+SNGC26B843/HcjsFwKUxykYVfPjkL0TlOnauDp5A/F/OZVHbst7L+GLno
MAkq/QKGXgjRLqhowGOXJEO1iBaKdIs/OOVUEzYApiPZ3KUAp5dzyUEHQV108t0d6cjqRfno8PZz
gFUX4mcLunqM1c/lT5pZFqtISThcx1XEBDAOPzqXz/PgomVMs3fLBrDYsTIvkx8wZCUAK4jsBVn0
NvfGS14GQIRSYiMLZJvs20+z7j84n4HfhsNNNhq8vWVsFfPr2ja/LIjdmvyQC8C7qEF5m/VTs6C9
CV4h730OUn3WkL+rho1lsMDAfajg/KS9GyOnAMpqe5Cv4NP2AuWJKmqUJtMxgYsz4l744mJpw4A+
braNexoA2C2R54h5eA6nHIQthuem3Rdu/iRnSOYQzdHMso2LdlUvsPNuTF/qxnxPaSPfGTZQDQ8b
dbe8uT1Y6SbF6fUCT7eoesygqaeDfu9DVw8C6z6XLa4qsBE+Wu1EugCzDlkL/40JnA+lvYXWXtmQ
hyLsthOpL8MDSZwsZHfCCyq2fvoaWci43NPnr5FOFi4+PKjwkBQnFoHdcWHzIRn9cBJclbgrucwZ
cRiP+WdsUiNVg5tHH1O4bupdAoi+cvx3cyHTO05+ZpQswgRovQG8Xlso9tnCsxds2cbFj1ZFQVgp
mPcVWgBAtmPqV4e4duOtF3OhnHXjLPX7usrrnT3lh2As6BEZA+ItaXFIMNqHPYQB1huXNELnazpK
+D0Bq6NtnCuZyJiRs8LGtWUp2i3eld5E0qweOiN/CRygXlNLuwQS28aRtn+O54EmI5d0pytI9Rj8
1UqIZZlLm6LDe13W2PnG+Kty9hG26S1XjwqFrODMxkyErrQTn+WKkweblrZ+0v203ldCsr4PSOsG
/WYoCG3jjCH2nmdUH4Bfpn3jwn+N088yARQYMmHdYtFvkhNZ9ces8X7laZsCXQ+uxsh3LpHUyvkz
wMOGw4JEckIbQougvld4hUMXvJ9gSzmRZDSJMI/GcXIIm421blCgjImzuI8oTN9Ir33XkubLZ+C6
1DwM+BnLXpab2dC+NFf7KDGhyBhPlNucJsQy1ZzU6J6lU95Rl5JvZRczvQQYFjal/c0RnA1zc/oZ
+5FFMFF3QjIG9c5YgKGebeFG1DV+uZkLbhAfUrQrVr8Ik7PoD1amYcRwO06qU/tc5907i6cvgodP
XhJ9svI9+FLnik8w3h4hSddVE2zdn+SjnkSXvWqkuZr+N/IleyzNMbCaECzJkq0lsdqYGo4lOM71
RmTMlC3ZhXA0vqtGif0A13TQazNsUoNfMJlJKYqfdtH+mAIaQghVO0rDqGRU3wnj8l7oc9witnFH
WSpIk0/HK4xNWaSPkZ3sO86+noujUyTQx0233gLr6y6Mrn4oj/pfPzmX9ZTvJ8Arm576sVl8xlXH
9Npt3y1hKSQC64tiCGdTEsgdQWNHQQPBYzaufTE+J31LkJhWmME6BqItwilyrV3mZXQEUS2gew1X
bKKn9AhqmzwayzCNknMgsAHSX2G59GCWzpc2Tu842dFLDZ7hUxpIfxo4pD66L0p1NysWqzHj9B4/
hzbMuwjhSdjb/BZI/5uyaFVh2HfPkvNkeQ4uQxobQoS/FyPie8rAoMQ1jzY61QR+Zn4aBqashLC7
ucjldTa+RhLX0hAzHy8zUhwxDk/qvLrAtDa+ZeCd6BvWurP3y3FHTDVN96oFyc5vOj/M7Q7YqnpR
7qYVTBJHq3qtoWsTjcoOhtdNEEcCPbSor/bdwIEbG9IM029gqR89ZX76LX5dnxMQEeVxM9HXFHL9
ftP87r4x/N9xEdmhKguanRyrp7HFMgiJ9g99PvweEMrhTBdsCYsPlhpvvHvU3rSaxwm/nzHrOhl1
9WWiYm4qYyBtJ6qNr+dYMXOcfEybThjqr0Ma3Uq8l3mD09SQJ83t6c9rpi2h8C8z19rtIAsu/9o+
Yb2Rl4SvIosiKNYD90O8A7zJGqsu2ZS1322m8qFQxhuNjsVG8sEIx0791NuZoWo0XZohu48VgWHP
rxqse7St7lVAUSVereZmlDO51hLRP3efPC1Rt1LB7ZtQYENq3cgiE5mlAWrED+9jAnao7mLdg1sH
2wcVIjFdxXNe3kyXoHomxhnZTr30GCLuMGsNs83/ISivVVuQBG+QCZIUc5kzB++8PelutY6maXqb
rkJaylL9XcDC22LHZAxbDewb9Il8XjJjr6YmojOTsCzBT3VeNOKcb/0X1Jrt4JjJzcvrX8nSfF1q
Ad63dr5ly6P1EMOc+YAho4Oj2LQ32pR81rw3fSx/De3YvMTO/3B1HsuNK0kU/SJEwBRMbemtRMpL
G4Ra6oYHCt58/RxQM69fzIZBUqREkWChMvPec+9AUxGxiiauaWhaxJn2BeiKUO+W5tsEUajgZB6V
FjWuLimjmjCmckg2xqS+cxmri9nMAYxxgbQGokBd5CsG8hEzZN68LkISC37LCdtPOQgmNQRKlN46
avr+ziw5Qi1nZMEl3RHRERgMFtUkZR9Yy/hQ+9Ylc1mPPZXuEoTekZUR12qTgW6Hc1ovcv7Wbx4q
1C0YsIpkg/XXXwxF+itl5TZt8Em50+9s4epbvZp+1WH52xsxgJhUxQsljZmRhPszCU0a72FTIt5L
OZyBatWhOx4DTs5h039SzmH89iHENbX9LLzGWSszRSBLf70PtKeSYFC64SV7gPY7ReJAlgfgxBDo
ml2/D7X2XSEaD5SVL4UHUcyNo/tuH0lyacikp65p6Cf33fAaRx4nAGmOK6uLLk1NjLtP57B7T+Tc
FaynjUwiE51gxVm+R67cRQ79dhYIAQnHleYup7Lxx8zZ1B4b9VTfZCp6DEpt6wWQKIphICSc/U+k
4x3sunw6jIjBURUBuCx0sTRKpiBTgDaJYx1gHf8xynbibSdmiJP3BdrLW09aU0CjQ0SrdN9b10P4
QUrJrL4mTGNauFrf3WXxdDcqVa81DQECmw0F0nKjFL8bOPanx/O6adAPqVtcBoVrOS+vU2F+ExK6
aCb301bGtyP0e4UXCUv0Rg3sgu2RsrrSTkjm5o5xgCgjFyH88wODnF1I+2JVxIQ/4qno1sQsezvp
ey9uP2lLtmsXq2FrOjnqOxxpcJuygk1CnyPceF57kC3YJCPzP+1Mmxa99meMJn+t1809QPRiNi6w
I/XjYll2bvcssKH28fia0zYBUA07ui0/VRh2K787i9AmsbFZWGg/toaGMNkeaIYnAWodnYPbMpkc
mDT6F6KkR2eqcaM5/r2oKwYKfLUW2jzkdAr28zaAu7C4StUMR+LcTkYYcAr2uld4CZsxIB7QSgBb
VXbqgUNAz5kPL4QrjjPnY6KNYCCGdIxs4Yj4NbTLE7xEay1SEsjTsRxwT2D0Je3uvqjZ8drW3unn
bCoFRl6Xcyitv2wpF5dl6r1E65z4KobwbH3x19ohf1K1jCRaQQrv4AKm7gx6pG6Fz8Oudbk2Bec5
uEZ4dJ0Jj2YEvCKp5xDRvV2gUC5sFlmWSPwAkKAay2QMhE+86yjLwJ7PLh7ktISvsHUjBKxAB7es
rW6jYucY0fY/ZAX/sRbV8WFWQwbFRJ+I5XrtBc9ME0H2JrhKvULthtAmhkPUR2RplHsm1a+b5Gu9
jF1qaCjReltufCUsMD/6fTxF58k13V3uZv2CPt2majF008tEjthRCXds+129VHuz571tbJp1aBMI
ka6YpqRnpy+QydesYpmMViPr2pVzNQpd2CO+xV41qGkeMvftF12JKdilZ733Ro5ku0E7LkOYbShD
3WV16XSIhFS7BXNJij0OvfbKioM8pT54lYng1mR3ReAiHAvw163/AQBwMO1fBh2ipU4a0GWa4B47
Drx+pzDfKVCA5Kf4eYvS36AS0hZtW1HuN/lnrU/DekzY+LcZnUNL7M3UlhjRYEnVkglUGpeXwVbf
ogcgpeRCDwfcLxmTHQ3NV+o4pE/m82Gh0TUfmkEtGs3E4QSIQZv3Z3lPMKAOl9HwnE/BAkbWjDgm
Q7o07CrZ6ppzZymtPFgIeXuTZ0FUcnhFHQsrcKHE1XcRel722c4ibl19CS1ka2QYB3ojeAsY5Kya
zKM3q2evoLef3E7cEehIcGF0pM9rbx26jQuZgGpOZYFzTDde03TG6doI8GQ8UDPMuyLoVYRPoCW2
AjqSCOM1pOic0l+YLT6WkZev4bPgMJhQL9cWyurgTzy6Zx+ia9hIiwJF0DhiXwd5VmFOM9BvQ9qL
pvqsWdkfb4gxCGdscuk5vKFEv0eVVa3ZproL02XN5BuJoSEJMSYFIevwztc5YIpO/Ia7sR8rRghq
bJhV8BXuOpgtHUykgq/9uqkskyDjoF/qA0M3Gs+MbUwAZXZ6tXFT1IONgND1vlOTE2Xg3tdKgHIj
HTKQeK0UCsPBxS413efCeyCl6IRXLQdsjebIDeFKeS+s9sJhMhXXLeNIi6PSEPLsI83wk7tWmq9e
rzsMTKMTI8R9MpL43tcCSZj55fnuV+RCsSTgNnIFXEivREaf38kOdw2NGb5MCNaxcZBnINpl7vu/
XDRpAOngd/fGbzX/uQBX96KJ0veE9NwlqZcdam5aBFNqfHruiBfb/2MbRG/C29rHDnVp14BzpIz/
TKPmsa/GbY0ijqEqm3Rqja2onZc6M9hDtILvBHhAiWPZs1ptZwqnoAeBR9BzP5SbJUS5jXvXHUgK
yLAkSxEhfBnespAuk5sVW9NtbM5Kyjx7aYSMrE59ttF/Ao3MTMPKHm4XMfOEbYDicHm7SVQwbTTN
Q8g7ynLP5nKbeaCEwgRTHViQYBNknXGYeI2HcgQ9E9sjmldWUszzM2dngC+QhocwS+5LPWv2TRfe
F2Emd1DsntQsLk20L7TulEqcI+iRM5Hw4106kS3YNIOkCLR6NAUyAxztbkDETaR+6q/KVdpdPnLC
jfTgpI+Y9zQdY7qE+tWNdrKuDTxZgWTEbwTVCZ+yvoDk2+4723131AkkzZvIJ3/lqWxBel6zZ5Ly
lEbZ10BDqmuGR5jmakdGZ8VOvw8XfR49SrqwawmTaurVFkoJ57KBzQgN5vdMZI+pVR7t2sQTD8a8
DZkKENR+r7nNnddPb53rbZ00vhMSAExc4Z20PMyESY5Mhv0v61T5FqXFBRDXSqQvBhrH84T13dLI
WBtRWHLmkUiyqkNaA5MleHCREpC9cF1ILl7n1isjxK7Q4TVqXWtZQWecvJwddpsdkB/ceVpOMawH
azLXlmWNWcXPZ9AUvTrThZWTvjoM0WMf40doDvdlUXwoM/nUKvuoIY/a1NNAOAKvBMFsoIItszIf
gi9hU3rvIhOBym25Xb5sCu+1NDE3mhaY3wJRKOxFenHZY4ZU/+gOLhgNDm+4B255JLW02cz/VOtm
9sakYeYb2TUzY5+BffyrIsQDkTp5p8u4j96GHNSNYbCXBb8o8OpbWN0iKhliPxju9CdPx04bN4LV
kuANpHRpjTLJziMm4OFHYJlrloBDTNopoLoiXAUaTMTWZE0yMYk0qhFYCUN8hzqw9k7RcJSi++iw
ISeqRjlmOJ+tH3xSHD9GdXtOivau7vMlIew4DXMQ05PRvRLo+dESLLFQOT2Evgr2ph08dkG9j8X4
NRFttCp78y7gZMpS2plLFyYZmSidFzxZ4CH1XHvKbM4m2ux+7K2HOLknmIGkPZ8SOZHtySoAK4f3
OFiPdWSvIz9n3G/9QnEP2YLe2bpjBJcktIYM85OjHgyo7A51me6ROw1LYPZ3Y7QN3DbY0C1Xq8jD
0Vk35ncZhRvYigfGEHRGU1KzJgqB0jLWEMl+jzENCb2iIgj4oNusshcic2qMbuKIXPxRxvYKXwo9
E9Fd+7L6hYbygJxUX3R5IXcmfb/cr8+GjpN89rJ6yPRRbLMMl718YTSwCfr6q1bs1KOqPHH80JMP
TlrFXLVujPdw8lPccpK8c3GuyIo1u703RTj4Yt7tyugRC2NA1fsIOC9n5q6xf+lqfCu9YddbKbL1
6jUbDymgT7rJI5rs4Oyzsjih82jb5kujA3Jt65fA8T/V9zhajyTwrdhOnYQP/pHvCN9eC/6r252m
MLqMsUg3gH+eSi+DWF1jHSjHN6irUMTwdUJRoKcbNFcxGaeWN6sU6/K3HwZX0G6XtmA9yOfyUDC0
8DjlDBVnJx+CAxOwVahQKs62mcAWT4U98TY03rS25wMkxig5lMZbTMG9clvjCvTFXYxRBdK81Hgj
rBeI4x/ivaqcTTSEqGPZvi3Monu3S5BqCY5Q49j4nH8k7duZF0eRip09D9qnqDdeh+S1Db+hXlxt
M/EXl7gS2zoYoDnK4Rk88j6f6AtjIyKeG+ulGqk6WQ8QwMYUhVrzYuucxcJo/BWiKdvYzE/Xxtif
phEu6WhjCaDvhjCQ3VElPpVVkWvjquWEO5Xv93BsE/tF4Y5EwXmm5iTFucrvfK3+g6hpE4/Jp2OO
dxAkP7xLHcpdYw33Og3/0tP41gbU3qOnwc0pwK2M7Wc3Rt90M224hup7khnHDL41nCa7wBo/Bhba
7cR7bFITD9M3M2KXOoJGZG6Vu86a6++a8W2SQVnM/fQURt8JmVkrTYP0LPyKYY4ATeTQzMxp8Jo5
qTvj6GsLpWdgPTe04jlsmnxhpxYb0NQlGbmQvHVWX2zGvAfPVH4Zip1qyDoTjnKX9tOvUOtwLtnR
pg6oArP8rqRjjnLya1DewcgRvdIZgG0NmrLg06WFBEFypFrGWBY901sg5nkLJzeRPcJ9D6paPZp0
mugLSI/eiY5EDt9e+2bHMAWBJpJOyJkQriMtiK2A9bHuUriA7bj3u9bijIFVW5LX7rTaq56F3xmr
wlJa8s0tBPv5GsBjgbk36CK5xBu4hK6k6DTurKa9NzqM7vTLXEqwIN0a67I0MW9W2I3Lr2CWmub0
8fB7oe4uWJHD3MTYER+EN7ylJmAAegNiZsz0ilUwUAjt9nFIUxIPXoZ9YIzY6bF/LlVorSExspyz
lWtMeeCDxaJwrucYtqrd2mFEY9Y65HZOSIWncRTc1pb4yClhWBZolheuo1kLVz6Adn5ru9gHKMEg
pLevUidVOPC7B50I302bScJG+2dko/hJ8h4pUXgkrfw+MpgI6Ojl2Lo0i8QWJ+KCzobrr3CJ4myf
2Lr7KGu2WfRQavqTZakQvb18D8iYZFPfnqc4O0d0EBduZF/rxHz02kVd1/kyw7O/IQoH3x2xBUUo
BVjI6YMEsyVsVQ7W5ouu9jtGh2sf0mk0Mrxuo+Z8yeIbydlbTgOOUpj7fG0j6mnesQI70QtCmSqM
jDK0D3nD2yWz56pAOxKn8t7CJq1lak+d86ZL8qQLtkjLzq4oy9N+Z9k0/qUeb+kdICi1m5Vnm8A+
E4YpSDUNdoTLCInSKjaNB4C4cmlCmO+bfO/EYDQkgV95rn9CtILz7M5KcZYoJ6Vh6hvTNSLKaclW
F4KMB7LQrn4ziYDLkVh/2ijEhQXqJYTn1FTMhJU2yjXpJKCAK6AAo4s8Es1YjArKX2dj88gXCgJJ
aP0SYf1uUgseS5Af+YTYxtM2+M5YuNDRaSWLsMDMyuAJu4H26BIrg85jY9XHImreipgJczD4yyax
X+2yPVcDIbcjTrVFOGRnuxd3rYFI2VclYBSXKs0v62d9OMTO8MHka9vVjONomac4COUY/UlFRGMr
VD0BMdkdA6lTMPRPPRQTNgYzXSmGf6ebnxVNDCJJdlrkQknE674kHpfFKz4yyYoWFVthr8mZPSj/
uRQuGUOgRo2K6WolNED6nfrQreJAc+1hrGKWkfIdFDrc8S64zCTaCQ8eo75xFQ/wNnDgSfPgZ/Vv
LXOJs7HPfh/zP3tL3Q5glWbMP/yQ7muuqDlLPDEhkEPHGhZxkezbwf5khOZV8hwZZbp0krIEfEFs
uxsGv0wvf6a44dyrYQMOuy2CuX7pZvI+Bs+09fr+l0sH3QniSzAMau+2F2Yp03KaR1o2ZkNaBv3a
HPpn34Yn6xTzdiutj9WaptZvF0ohVTYRaE7Kgsh8hoVnYlgJuNIsOXyc8jUIY+LLbHHtablgeP80
vWElZbtMvW64m+y8Wejm8OUExrSQDsWy7+QvbMteErYxjqQikNh/EX87PQ5K5M6+m58zz9mUCMhQ
UyDKCN2Jzkv+i5b4XWo9Y5sJlh5T+gU13p9OVCczy7ZNW4CfNRuXAByknQkKhSlu722t2BZxdHJi
fKz5yMfdJGf6T98EvaYL2vp4I17zqfPIaYW4qOsZUpKAKEbazxWtqGWhazsV0/isPRaOkBG4BOrR
Q82i5+UcuxRJQt9+cEqOUClXC5PT6dQj/alF9US/3d7Zdo2EL2lP/rc/9d41o53pNE/U1g52wwey
nmboIgyYjHNg/tjHfYYxEHtzZzJRyw162OD2yIh3+zn31gLXAppABi6wlaRBila/Cg1dEZnwSCW0
NDrxtWoxyq0EB41Xd2c3KzecgswNBdlqbiGJmrFREXTHKUTL6VkDXW5dPtShvo/tNt1Vsn02zZJv
lcl+gBr0N3r8J29CgOC0AeyRmLNEE6CgST2OiYYGTPcKsprtgMPXNIT8jq+MaA70IqCe9tXYbCk3
EVcN64oNJhvZ8JXYMWehO2x+BZrPBm7gIo8Sso4yBxBqGL93MsyREOTBPIH/8FrcNXThLdlcHD70
KVWvVL4E9kzdoY+938Go94uGEIwM8s4iLYrHUZ6MenQIOEHI7Ml01+EliEbexsH1oo+404YFq1S7
TEq2lU2fb2izFT65GsNORAKkS0uvIrjrWvfEWsXCmXSEhmhHY0xfYpXQGFGv7Mzafar3b3qPegxH
uZscK0XTz/ZbGnu4dX1AhlXawtcGsxZF0caFJLkw+mROoWHPEXm04Kac+mfRlNrelnJrTr29ToMZ
y9qqa+tnpyrXSUKjiwVPhooYqUPXkIOM9g7xHecgunHu78Ijm0rlTrwO2/baeDW/jDILbU9qWO1K
TeiEbZr7W/LnHkEFQ5OJNGQSyI4yvXiYkC0uO5E96V207wOLPig4lXL6LUoQp3H63GTJVxuZ743H
l81Lteewpi07NcOHCOwPaQJujXsH2sGIcqwu+oVlp7svUWmAtrVqlSoTMjmphtlIv5PuO+U1O3pK
MmlM9UanPKWOf6dLtEv0/oU20cJVfG+C9Cmaqo/xU696mmzaKna2euEazNzrPdt8l6AzuocgrpB5
exgUS8Rs8CYYMa/dAMMeiJBNDwKkGK9oiF6NwPwqxvZpmuhW5nb6Usn4qalrXLPegpohG+JDz2l6
1N27qUzf9RQRkm2kQPYGUORKPWMUYAggtl6Tia1N2srEpK11Indrj/1RRNbawAKzBXp50iztK3Dy
gewE8uGYQrJO9Pgm584ndlIU1D318qqtAL17APV7H3Ss30BCMtj8Q+ZFMJJmK0aflyZS66p0PnPL
3Zuy/FOmxZ1Xu8Oizhg3yb1BUb1UZQx/LnGgaDFmVUT3lMGwx5d5YXMN75uEHF1X92xn4EE19GVQ
LdO846zcExYnajB5MrOY8k6nKAN0Gpd3w8h3CYMZXdYI1kLwJpEVL2KDnrsE08/OmTAr0NTbjjMa
42ywZQ1ee98SX0pLvhNHfI8g7aIGd49Dq7l57Qc8D25sXhuNHs0cFFCj416QuMFc3phW2YCg22nG
Vdo51rKps1d2JnCskBnS1GyBjadE4ObzCybFyR3wnU/yGQIHe5ZwggOU2f4VuUhUF7i0XO9UiRBm
yTYSRrksB8IKAqyKxAgbrL2dga4l/rS8mryaSEC6qvqVmbfrao5EFxNWBw3MNeAYzIpMZdjqr4xm
vJhtDrHL6j+mpHiKyBX5hTkv3BFwR9eGEFyWXLJfAdlOOeugC25I6HwkudGfsQ0Fyz6VpyIdXi3d
umt1571I9ZXrm38S4qSxsLbusg6WLXqYleF08tMHEz3vmwwIR3V+lGX4jEkLUz3nhzT80s2kp6p/
Qxr+bVo0FxDjfGbp+Dr07CHrkNOGZwTEFyhgecDBspSquxKIAhE3gNx96UvjwRGaTl0eQmuk6vKD
AlSXMczJcKWxhE/D14CW17LwbWtJ7uqLPsKeE4zmzQYPAWpin6lQU7GMNEn53FUYWQzOcyWTj07/
zKtxH0yyXjvWdD80jA31kJxgpBwFxLV8Qwh8u3JipPkRUm64XS9TmKqNXg7tSpduu8Hb/ZV2nJE0
wdxTo9KKAIxOBuDSsHtCPrXSG36hH+tXwT8A88eK9p6kdWyymxE7vxx1rBXTmxrgWgUmfXO2IN9g
nVgeqDsGw0JM1K1aJCPLqUOhoAefZUqzXy+9X5NBMQvk7tqV7HJb+9wN8LeKZupoPTEHwgkiPiZa
yX4ewWlxaLdHicl+onl1MrPiPMkgnIgozEYi0cAQZxu7rodV7VAYJTXgPJp6th4LMn4o48eRsGKz
nwEq9KaXFbjhpTLbr1Zz/btKfBQ1XXTHdFO2JdNvVpPmzOxqUw/A1GnvRtqflh/yObf4TAOG0F1g
WAsRuhSWamPkCBQ8YCfjPD2QtaGfxoidaOpdQ1IId5bIqYbHXq3tJgVdbvRbbGnVptSchPu9bNdw
fl57fvLRmQFhIJlPjxUwp4Dh9FAkWxDbQ2ROC98HtOhFl6ypv5tSLzBsg50e3fFFDhDTB0GPLRZA
5AIsvq0Zznod1ewY0QKKAOesswlLUF8vUT9NVfiaWei9rU4PCQvRTxTvA1bEmG5kyuo/JjHDR3nS
tNhYyE6+Ny4Qs7Qb/jTeSDOWg0rDl6ArepXQR5dwW4CCN9ZuKEVJTSCijYHQn2PbmE+0+Bxi8Hl5
lRS0CNoT1ZYRFgXip1k2EeArUU17cqBEmQzq14o8nk3Vl4e4Fu8pYA8a8dVZiHRP9OyzFjOqMa0N
QapzgxOsnG0azjI04nvVANA2aYYEqOe2E7SMBb4tFqRgM8xDGHSmTJiqBl+q+yocdth6T9noOeaO
nrh+HXVGqAgt93bS+FcT7wtidshkTg6gXZb2KjfQEQ4j7TUse2SisWbGvDHFpMITnmum38AqFmHC
qZJDaDJ8/hk9txdZzyTMpetgKgmqKR2eckP/Lkzd3xoe8RnA0EbOl7x3bcEmciLDC/QRycRazDi7
domjjKgAao3d29HkkEyiOF+LeiwPlYB8eru43XRUpeZcvAePPjK8aYuhtz1H7Pxcxc1VoVIvkPF0
GAiw2aFKrbqRyynw8Gv6NsV73RTIE+sTAjltEwcmbtb5rtsF0nFKNmEfnRbZv5jjcv5ehHM6TnyL
yCHXeoftddnO6FAc0IBBb9dmBujfm8UMurLgNHMGHLKD4hua/FzVZ9roOF/4mc/0G+MlVaqfQbfj
Qov+d+1205vBqcSzNkDs9lrB+UZlwAPZPHP1dkEYBPkeoriImYKbzNk8MSe3BU1LspLnWertovHz
6uda5snOWN/uxGRXI+SdH5QaZskLGj+y+UtXhU4Pi3z474UQEUV1f7KyUMPoY37JFMChyyukzDCW
Lk0xNggSaKSv6RUvwun4qNKBtCkmIyIr6LbWiB79niFW5YCkMvuJ4ID5nbn9w7drbHV4E5r4Xtds
sAZYQqcgBQp3SLBtH1C0bhx7OGbzp9uJ56pGNBYGKPFGZ+lahYLhn1hgAQLBmIZwROj4x17jXdcj
ki/+fjK3T+t2Uc+fm98Q6YD4iAifj9txEI1CrltDfMQ1Ovz8qP0WAb2IgTfJMR5HpKyrrCiZz1GL
W8Y3DdHfZNdpeM0xujb8lklr6wP4KXxd5Ux9jv/vfRGMz0gr3t3eq58fM9/mpGVLNoFlMzCLnyG9
lW7Dj7td7Ql5TRdl1tdEJzpfP/d16HR+ftzergalUxxuF302s59LB2HBjSYcuY2X8CWbD9j5MLXN
ySXiLXk1awrPn4Pp/4+r28HlJ5m/gWB34hzpl2+3Q7LpDJC3BcQXY4hjBFfhPkDgsL29pd6NwHt7
s4d/vho/349/buZ1hlQVEYbDx5qBCjjcrhXBRNuuYs6IMIKWaFlXh58LXf732u0dY5rAuLdigh+W
zXRI2TgdxiFBxzRfJLbWIBFkS5Kji6HiBkrYlWV0beYLxgrt0oOQsxGuT904CqIIy5zzJLim8CrH
mA/XLGMG2bR1o5LWiBgmFyuldC7MkOxTH42HJrOsZSvDBjUTuJfqdkF/P2Qcfff38QY6tYXZxPX+
9vTbD8zQIx4ip01we9btB2qMml08keRtRIZ1tC158fVAXkrXZExLYzjLuYskNFQ1LtBXy826+9sj
Qr+SF2G1H8jA5wil/z0za2GFB4rVejTTlaLtfLU1L7g6Za+vaQk1P/f1xhBcNS8n5qUsTLTe3Lxd
EIc7HC34M7dn3Z6P9ai+HzlJtP886ueheIxylbV3YRZdPL1wjnHZigvJlhgTsEVTJ8fiEs73jfig
1xlD79Uk0hA2DjtxFsLq/faQv49zoiMESO3+9ov6ieKYA2Bao/lAvztcImWbP3/k9gBcOIKUxIkC
Dp8kqyB/TreVt9XSgPBUBJPoAkI08Xrh02uPnHWqk1e1SO3EvgitPZSTb53G+bms7/ZFIwNgmWHG
3d7uu11w+rXZ4tAI+HufMcbpad4PjlHp74dy+EMvMroqNxkvSq0H+l5XD+Kmg/zuDpyteXGc8TFO
9PzYNKF1ud3VjkwFXVKiVhpSj9tdtx/GKNf3jkkxcLvvdiGtsebD/vc9WknNF1BSCZN4nL8Pzfsa
upMamOHPD7n9ILbJomoc8fr3r9/uh2m0SCqXEJN/XpVk80VLmrn87RHj/OKzpqk2raOBB1JueYG6
nHu2f6/mi8qDVytInusmDEBe0NsXo3Dti86KvCycsUR6yH3gn+wLjPNhJpUyCZvvu11ISBHHOXMd
dMTfwyvW7PTOEZKB27GnMbVIytZdaxOQ0rIjHRK5/PPgxPFxQD3PVBjxQOsyHx7YicL27i9N+SjC
6bFq2K9P7rDC9PdZN4l2KeeLvBrCTWj64dw69y+3H+gFecumi2zHRkeLo2FIk/MwdPvbQ37uq/xj
Sc1/+bkVa8aVnItjbwpzSwx9uFMaQRvYjac7ZAGLqSB+Zp50RUV/Cir7kzPWS10TseVTZsVDhPK+
Zpye3NloMRaDZkQrWffPFu7qKTKe4s6Ui6JkFjsY3rMy/V0NMLX2ecGsGgu7chaOi5Kklucef9KI
060Zgm8lYTVGyo1WdeEsSjJ26syXmyhtvv2+3ccGhrEy8qtFaybVQhbp15AQMoqrNzeH306Z6oDA
90Fu0fVyOlLrffUppGHtrCAi+gPxNt/oM0u1fZjYrCt+zTkbpl+BRh4p3/3jiIajxKTL1duF03g6
+7ve1Za3q2K+ffuJnRaghSA/N8n9VA8sG7cHyDT2//vY221lpAZQU55V/XPNz6fxMGXf5JMQN3b7
4f899ucnt2d4cb3yCZHcl5oGdf3vo3/+aAuFGjXN/Lv5b15S1fib2/P+9ctvP/15YRPgBreJiSue
XxKNTWtRjaZYjZ7/v5d9e/S/fu3PE2OrUatKRXif5mf+fb3G3//950/+/Y9lGFdYduXX37v+9Y/9
/ztl66O3E6SFodXmM/j7nAE62BLzHSDNcXgsbTvegnK3lRiuhVLdgxYNcheMvrsgjWBm7Aokq/Dc
4r0VG92D0Ht17ejGzDdu98RuNWyVF3YEc2KkZFa9d9MOXULNCnIeu3Y8qqK/WOO2JazjZXC06g4x
PYHA8eA+iLSjCTH7ZI/2VI1MgZLRZhga0TW1KMPHSiI94vErTUzdw+1akKPfZfocH9G3V3TZZbvR
La1+cKjwaG8BnqHQMCi7cqd7lKhI53jvKjWwYSmijA2vl8sJKen29qzbhZblq6QWe6+EkOoQf3cy
BdMZ6doHO+mSk813eVEaHkkwtk1/O0cPFgoChTo5TPsS6MTtFukJEwMEtCZ5jVEtAD5wH8Ho3uRj
jsl5vqYVQbzvmRf5zPY8yXipfUgJ63oE72kQ+TTjCvUWUx4WDE6d44fy+/cw45/3cgp8XUcuquza
PyIJIQrQrNyXLHe3uFdJq4sGwp1668zINVhC13HfPYs5MXPg7E4kjnbVcvnWM1l4L5V3l5npi+/5
44eIkQEx3niUlAXH1DYVnUYl79A/YFQqtBdauu61nMbynifjU0lp4lAP0GazpzczyLAB+aX16rIC
jZqIHqSWk4idtzPU1oDR5M14RY1h7LlIibojQKakfdIkwCvbo307BtKI0T2HIc1ELO/3NrvSnaKt
B9Qn3NxeJUSc5WSaROO0004bNPr4tLxQy9ZYOnLdf1KgCuYhXX8OCCY9OKMeLEVmfCd2Pl7o+Q4/
F2VCZ47I9G0/1H+cSqss9OqDu3N1WjA5odn+NLaAy3FfuNq4LfWBOb7rxuB76wZ/AkIgDb29JFrq
7u+FNt+s+vqSFemynTFmDcAS3CgRo4X5ZtXogiNKDhcgmDQV1HOaBeIPbqdnmBT1G0NQ+O25ajZ+
RCJC4WyhNLj1Mhw8TOSE0Z5M7PuLZmRMS3APtnuDSuzoO5Z/bLrW/7mWiF9x3munMBmVtSqRsRFx
ZKgHe0bRIfN+rnxNXktmLHyFkPRprQPZsxwMbA4xe0vf92yoNQhqu9jLDmbm92caEDVeOn+DZqDZ
oxRSr7xhcK8JUjQF502VCJhryL97LS2vtaW+vDEJX6EqDitk0fF96yO0sxVjMEsNXxEaByIJAKyE
jrkRvSppngNc7UM6iWbNfEAYmGGimj7ImLTyvreos5KJbZs+37zdB/bkIFVJVMbUjx8R5w1RN++9
BHCfssHbJOyoWFPCkK5ZRVASJrSe4KHLvy7S6j7wlHcUkt5kNgiItvMyUkZ8w/JJv6ROrM5dGTwQ
IUAwpM6Y6zhaQMUt0mDvCUZ2DwyJo00H1elFi4prEiFGhvbogxpq3wxhOK+tUPlKlaZ1XzU24QNB
AtvBBESr/PZUxQNVMCOgDbHOxEZbof3ohUVwxraD52bc5zJ8t/x0tvSkI8OcUgy3+/5D13ksN45s
W/SLEJHwwFT03kiUqQmipFLBJLwHvv4tQH1vxx28CYOg1NUSBWaePGfvtRuhn9QaxsSamtO5+Qpi
YxMDco+34ejq9K0M09H2vkMseEw80zXwvpm7OOfaoEQBkRRQCdl2DX+MZr2h1OazZ5blykGKv+Zs
Zx/zIPxC653tMeFlC1MJ+ECDRvzt9B5yTFofN71Eccuh3v8lOoAOmafTqLSSQ5CzKwpL/CbBF+eX
EtS31njOR4fb1oglYhO76jjd8VfDMoLpV7V2kS7raVGkrq3bhyq9gcLf+RpI1yDSVG0Q1/DptTIS
5dmy5G7+RA+tVm4xn7VP/cTV1BJ4BQk82oxZ/XIIpwJOtOXNCe3yliUtbdLWQ480XeL8MM+cCi5u
7NmnUPHzB8s0e0xLEWv7YgcImp8zNZ+r0Taeda/4S1BRakj1WE1cA9OEla3mbXoqpkt7ugxE2C8w
WBBLlFnhGUwSpq5QJl9mupH1UH4OExo1QG9XqJb7gfr7PJNrIVUvFCCxzwpvPi0qwZLWpNlf9CuT
+A8h/lNoRvQQsKwdPbcJ10Fbqc/uKHXigv1m4VU94WMTHjDv9ZBGvZtxm3IZojk8CLLYwJjz8VbU
hSrKhWOaEzFS2OHGE/0f3bEwXpYVc17DmlJg2bUhcsREyneGPFkfbGlFuRL8CAvVLrMzkIl+bYcI
juHX9137HNYgXXLhAgPnKqgYfyo+/ueO2ygs5fPP+h4BY9/BWPMBeVr1R2HmJ9uQUOgl8980bfmt
ufMXfB7R2s4rcDI/uh3REx2d0Z/VENMGau1Yv40D8w+dULVVhdXx5uv2scCi+kpOGdaqBEfufImz
R3lCXQkVK+KTOy+DhQGkM3a1XRRmzplE3WQbDEGCt6I94kUTH+AyXP4vhnUZY5NZgF6ZEjXlaL6k
eB6YWU/t3sn9YGn/PFP8oV9g/gPBOiGkHJhJ29JiPBENOUP6+UXSqt5CEWwk6XqdWTVrVQRUvX2v
LgIfi3WQ2umq0pvkJUUmDB3Y+tM55AKpfq6uUFTU1xy9EkoU7TFficJlhrxWelU8uqRMjpZJRzKb
MC61go+n03A/d0gBL6M1LNB8De91iVITkXS+Cw0RPEfCJoB1iNZRLzZGWyEDn3dUhSNrm9GfmF8z
qhywYDeUt1YG7rocyARRwBR2RfKlttZLZnTx3iCaYp0KjDRFaUGwtCz9Oj9AjiFKhGYTqileC3qM
DA5ZzXNRJgzd3mpqUC6GqMEpr5KLF7QxkRkYs1f99CN3VobEMKaQwt+oXnUf0z33jPXHGkBRtv5X
LR9xA5ggU53gs9GJQFXHMLtrY2/uIb7gDZx3TI+5A4lubnmDXuqu599svlQFDNHadkGUIioVnCGf
9UB/Mw3cPSns5Y0CpPZmqw4NJ/TKi5CPygtZwHXdWc9habYv/E//aHXpHTuFqOVQhk5772RIJorv
VKfcxYWW5or94mpEPdRhWlwIs0XTazf3NHW7i8ap/KEa1b01h/4y/4Frr7tn6lgeiri4gqwNr40v
KXVaO/7yAjqjRqp+aFaAv80N04Mv+I5SAUBL2DjIp4ZBgsJqRjZe2xx8PVY/a5uze6A4LZIOK333
cjjyvZPJrVJW6XvFrm8bVAbSTcTNjtW7oXvJO5uIu0mKeK1bqMJCJI4E2lWrzGCZDdP8MJrZulM8
ghez9qu10AXVLZyrNO1ISSt84yywP9KTwYcYFtV9EOkv16XBh5gBGqSXyTMM41daH+oL4MrgBfSS
Ml1YeK8uEI3gA8cH1Ib1c1ukzQWNT4QO4dqVZfxdxDcP09G3xj9Dua05DyimS8voJstSmL/5oSBc
JHGZOE2XFVUA+IiamVeBDdasC1BhhSuPlj0Sexjj8/xZdkLDtZjdwMrPVfK584izyHw5P8z8fPIv
MV86pQXqEyx0Xfb2ScldZz9SJfqI1WFZTK+RDcruwkZ7aksNr5KUCtSkkvxIPOhLZ4CE+6Qoz3BZ
7Av+V670ZnjEhh0fbFoL1wbnx15Vx09amXhp8hI+9bTVzfsdw8AEkmCOA4WNLy+j6qAX/kOItDkm
3aTQnbYm7X8v//2qEpyocf62fdTfq9Epd+rIhCdHU0c3HbrefBvavWDQH6mE+4ahfbSUkSSzUDtr
OWOrbN7SqyBnq7SGbKUb9MCScohevYh0aJgfUW0jCRVVQB8OCURrRtlZH3ON+rXRqEnpez/JDKzT
D7pOZEjuS0e0dA5Yp1QGbe+yHdolSlux06fL1je3ZHeP91ReiBeyL6nJKYTz4fCedPLK1pczm+3N
Z0PT33rEaDj4/G8U+gWCULBkVVhmSJKhnpQztayWcCgqZoXtYOcfoZDwTfT2zTQ1Z58EDM2TPi1W
vV23FL+ZcqJ9vgHyUN6siMD7Kl37JLidw8KGQGWNFTUFB0P0qOjWDcCfauarJ1swUVdSP3oJWKYI
5HHWIEbFoq8I82IcwnUV5WJhQfm6KQn33fzGZk2ASJbUiYWFRXbpZ2V/shWiS+gwfSIcQE9s/1Ii
7/u/TxSl/yzMwjjO/9KgirdU9NlhXr8q1FfYfmNxktLwcdzjmSJYo4ZNkHe/0CmzCt8lWMclSmwA
Xk7Juh6VL2UuXzioE+E7vdTZtMoKU8drMn2xr/IGHg020vmrkeP8JkkhXuc+MlU5ERATgdiiU137
OMIkeZDmtZpfN6dFHpK1+3Pp++aboG1A57khQxLB6fxdzmhkqwxQJm3NuliXoUmsc2u8+0BW/yQj
x3512oBJ7ipTE7kG5u5taCXmV9bIryhR5QcTa3qHXRks42gwdn1Uoh/xXVzoTXuONd4KJkNrg9x5
XG0A1N2+cT9b8kojw36WTuB8tZ27ShQ7RQoHGtnToubbVYBgRLX5TpJDTmAYglbaGhTEnb+pLSXC
yth0xwn+BC2KwXWMNgF0UEHcB7wbkGmAFnmwl0Bkfc6RXv7SvWmhTuPNdqqLqzRo4UvDoeOYVacs
B7cRqIVDAq2trSeiXAyKMpCq+uJa3QcZ8uppIBHkZYB4sODM7m2Fna9H7m1ovritrJ7bU1a99Sqk
wjHciJ49icEoGSV6e9PgeGvqxC/N30IO+ZkRp4+msdL2cdEHz7iNKUGt4TZfgR3Bv+LQzWzJqplf
Mgo3eDb6v/70TY4U47UaNQTR/zme8iuAblVV4L/TaXVE/rzOTRTFsczJpdItiqzMs37TQGUqMTH+
hO1YK6W0cDhOl0OBHsiBhSqTVH4EdvbSkAPhP/nAaSjw/rqZ/44/5Dh6bn9MZCYf/dxhibWqpN5q
LDz8QH1/Plhx65z6gkA5VmHvvWo+g7BR3ygFOXjzJ3ZlEX7WjXJpk7R+eJoutkXevHSthaOuSNEs
jrG4pEkgFnWvL2Udm88QAkz+Ivw4vugVTjGJthjJv7vinYL4z20HjmXt+DWOMDALv63iKyo4BAAE
U9c5Wx4OdRm+GkG3UGr1NFK5oxIk1gbhv35ydGYTBOmSX4QsAdZaMCEVyDAZiTwLWz9FtOzD0BJ+
uG0TROFwQm2idPL+5GVkXtVN7q7jXrHPueLQy9G0R15a2AAM1nrFnjRPSdlccT8hOLR9xr84+5kH
oHSShbah7u2vCrX6tXdbue1TUntErhsrz3coNsymZXtXtjjfJpLf2NZi24/tV25ZHKT9UQMZPf+f
yJNbGZ5PqkVYe8FW53YDF4VXvvcCgqP1NHuHf5K1OkLpql4nLAXcomZ2VutOZ2JcPws1r3dQwMy1
k0XWns6QgTiuqm6t4MQszckGOj7ja61WUMgUGDRmdf95APiOqVYDB9QZRbnOoqUREjvR1mF9nx/6
OCdAUtbjJkjjT18m5d2XMdQlPf8GE/XzZHrFlxBLRy30kNNnw5pDYrYVOEnfsm6bOS7nLwc+h58z
nFBLnvXcU1lRX6rSzi6tTGooXJ747Pg9tmSlEqoW+ccZPEuABnQxSxshHDThGXTIiby+YEraoyGl
8FaB9C7VS4i8zGo95fzTPa1zES/huKCFaKGRcW4NujVquQ2RUBPYWq/oK/YZHo3O3/38KfA+D6vQ
hz1SS0oXJ1GP3LfxrqMagXpI9es3V3oFw61K0uw+/WY4L/xOWF/Tk8wZ7C9fdvTTIBX2TftiWWLq
P9bGRs9t9zXQh52o0j/tGOlXVa2TTeVCAoqrxFn80DIVn/3HTvNLUaFkmKGdeu5CDUvMQ/CFuLI/
owRE6T/5xX9un1TEpyJUFFIF8nMTqHIRA309QAF2D6GPy3BOo8k9cI5N7AYHyPHoOFL0N7JrAYKo
GVmafSkJ2fSG4Sq+44KKgHEV+bSFULfzbTAMwBQQGAUrRDb0PeiMzA8q3Bu03Di79BSeMPOdta/3
8q5Ptbvnl/iEa/Y2zdQIkBqW/gTN1JLS2YRQldYxoScnUH1Is9F2u3ER8P/lrekRpTAFuQXS9L7r
7i/GrOBPqiDDyitkWD8ZIhG63RJHcLJsZJRtST269Spf/feH0xOa9wS8/iwDkAOFWHQhPSdZtdUB
xCTnejMMPx31oCso80oJB7QW4R0PrnpnRr50zS45O07/0iRt+xLoYfsiiR6Cv/zsuXq5zzJOQ4RQ
xFSgula9lIKdT7UwqIRBg0Zy+hgxLleZiAFvMqpJGG7s26wnCrDAaNBUCUuFQN7rO404//xieqMH
G9yNNmovt98UyFw2sYvgL5KYNrLYcjbGVLrTDSlIAE+MU02AD3K7zJIn0W1LGyoqyD9zq8Wm8tb0
mKY4uuyGYqIfNzEgmP/5oszc3/oonPOMkS0pP04FiuEZcBl3dFFRJB3tti4XGVgvkEgxWs5BxOQR
+Np1/ktHIFhrIQOGbqU2HIKs6PZqxOG0D7vv+ZOT6syYoijdVb7jngojciDQOBJBVvNeJ5myJXIL
r7mnXBvQAB8xixKu2sC94sHSNoaiX/MmGJf6dMwvBFGfrscYWJsI2gVN1xkqTxELeWVeuiCZkmhg
u/tKoWPs9iZeqLQZix3t8bRqJiYDHYu2m3AivOLLW5DY3LEYy5eKbQyH3vdxHkpc5zTkx98Onaqn
ZkS1rjgxxuNaUw5GnY8rx9WKK1BL/oT4LUIsOQCJs0xlPXTk979P5CrwNCaNMn+PPOmvcmPEOO6K
P30aDqsImcCO/n3BEpc0W1pE1X0+vUdTqNKoVRCIGvpoEC2RawFZf4oxaHxqfrh29c74yz22d604
21hA8lammwwnfFf+U6XGzm+KbSJv8B0dAic3tlQUGdNolxEjO55qoMt062bzs/6AAiTYIDGbV5tk
z0jI8ZdnEYlg9JKuqtd7DO0FfnzD1GkCusRFpBoGJ919rkvME93USKD/2qCmHHb51BwhIWNZFmAg
ZDkCntS4j+0wuc2LfRH6t6xSzTOhXZMluEy+ov5bCFH9ztGRL+FCL9reGyAWUkl1KvdvTjwMiKRq
OX+2AJLV9y4mJVW1wwbhDTq8CXTMcUNbxl00kneoEBxJELphhnQTBhEwXIePZZvqel4p7Gkt68YR
gzvy25+wmLHv/wrWxZsh+q8ihv0NFLBbeMGwAfNPvaNk8VvjvraJM27hZUD+1Lx+n2nY2up00E4A
D3AfKt0jsUb1DbGRujQcvzhD2GygWRWnBs0SvhHweTjWixL4le8t+s4asbdlLxaI+L+l+km/zlzD
M81WPQjcE031pTmlLvX5kJz0Fo1pR2rR/FANtnug80umr7kAURBeKjP5+nmXg0I7zfVApaNf7WoA
EXSA/lCXK4us6ScWeaseBysmPc8ncAQu+j7U2IOmGrNl7n6qkMULAUAmzxVxbclT2MvWOFhDS/c6
y8PuGQ6+iVI1KU8J9tInInSGqy1AASYEbmd2bP9xAh1xVt5DRk88CBZ+/uyRcog7CqTkgJYKRRdM
XrVsF7ivfSJ3IN1o2Go2fYrJdexigg1THMIOhvlmqMW+DnoYvaCasNr1rJhFvZlX1ciHFKaZ48kN
KxU8jo3429fh7Dij+zwSuIImvXtWLDfczHdRaTT9XtodckgmwOeffTVjpTz1kiEEYCn3PCr5H5e6
nGK5AxeZVrTvE3NvE6D1LDPtec7+MTO8jrErb6Ub3yKdYU1gV+715x8sQ7ojfliuVaJJl6FF94zm
hr4yrZKmbB0xwMl/RaF/cHy12aW24Z/oXOmodClWMIk9SSuqLo1j9U9142ESIg/IvjjuONIsfc2b
gkSCMbPsJQgP5mhTMeV0rF9UMKQCWglQEi/IVbq4NrbgongL2owAmzAclqBOxAdn1a/IYJaaxZCi
sPrdHa9yObRBIo6bcN+rZofYC69dVoQN3jWeRXr7z7Pgv89GxCa9yIzH//+9HSh6vGO4tEoWpH7M
oAVM4QZMkRSswfSb51ADWskwEZ3nKtU3fZNoO7z82VozhPwIpyiv0m8/00ZDXN8ayqlwdPJHKhBs
9GV0T5W/6ljuop6TKbrxW6rH/rtlo+cN8AeeyMPz1jQKTx7G9R3iOWanSTOezRr6uKyi+sUIskkI
As5qUIg6pYGwTiet1Fz3zw+AFxmX0B2FxvLlFRl/2ZikHzOC/WAoIIfRrXC4rfC7DIYg1WvS4QQi
7lb0VMuVJDuIMGgeijHvdlahO8UmiMwCuDOc9mQ6YyYNfKi6HHHdJzk82JAGy6DRJGIOrD0FnCWB
pOIaUkHW7uMkxdGFFeW1HVA/Y13xN/MlDCiETPzdQ06vhGh5EKNtxsZCH8JP6VP+Osqfn9gCTFDl
1s60jrY/HsIBo9LB7BzvkHvT0B+N+sw3E46eneZn84NHk5RwczLDgsIIV5oOFE8fDbHXsMTOv+L8
MCSvjM2y90gdD/a0b+kImlM4xp8GGKnBB+SwTrXOWIpWZwf14p0guAxvva8d2ulhfr1K/kmRSwPd
WhNRPNJwZXDLHdRz+OC2mgPa5vLdy5v3viL42YSjYUojvuLeMsEZN7jXpI8DQYMbETBFyzwXfU5m
ZduUZvGxL9CRSwWrAZgtchemjWZeLPrAff35SfWSmCdyAh2IDYhzmzI6DGbCftnTBS9jDUIXD7jr
1EOV52IVg9EHuivNm4IFj/m68hr4hIMC74ZAPl3ipfSWjLPNVe9pPQauUMcWN6JM2/5MfYDk70J0
5QBWKlhA9jyzIrgqJC45AZhUw/rM6A78q+Aw2BL4QX/NQgQNfDaGEqBZQZ8nt96QyCgGyk6ysyNp
Jy+KYwbLYIhRqNckvIWuUS3TyrkpXdx//e8Tn9JpVALvaJBpwcAX4+XcnNI03AeTovtsW0wCfJEc
2tKaFPwqLDNT4CxR5rl6E1ThRvfL4b3EW3D4WSQLLf65rWyho/+KBPdH6gX9z12Xjl2/qEvsWX0S
H/oiTx4pbxQnXsMmusC5EeEx9S+YVttFEW39HMtEEBgcPogKfQrxYK5Tp88vc49SyUL1rGYM7WS1
M9B0rGZhCUXeSi8d5dXjCL2LALsvQOdlkKpU2uz0A70deCXOUUVqLSPbflNHavp5iqNTjF/DyoL1
5nb9ypwuZSD2osrMfTzq1cr5Sm1owvpUPtmuot0j4vCKVN+NCi8PgVo+My7c9lGuv7lVOuwDOouo
p74ILfEOWjUF9JF1xFP8huCYQ7oaJEnSQYozMiUa1H6z0qOYzBJ8vImld0ASpcLx11Ya1icvp09d
0U/ypzoJ9GGzUwpGiRxCgJRoE1pVC3D9g9TaM/3LziLEv8GEt6OdG2rE4CrDmh4jDfrUWSkdI1pM
p7TKfvLP9JBlUGGek4+pftHwJFFvTevINHf+OZcHeWLj3ojSF7+R/bpuBEegQk+I2En9Jep6/kZ1
xVh/EHqw7S33aBYV9QihkPmUlGJyb51YNA5pFWUQmvXQw38Mv0YH3wWRoh3WhN5qj/myDGxtFYMx
8Moi9xaAPY4pc/ktysJik1aVONEd/OcZN/k/z9JTr0OjdBXJXFegOsEq8WGYCr7F6SF1CwhT8STR
Cov0SKxJfokL+SKEnNBs9YD7PfC6VTftmNhywcYJ0nF/3qGCb1rYKvoIoCvK0nCD4Jh2vsFpJAtL
fs5InoypyJu3+zig957n2HsbACnSUJtnHMDZpNyK+FjcTdXZ0GOT07vz8xalgXE02u7Q5vH7EA3K
JXYU0grM3TzuQT3WnLXD6FV/1Cb0sA0gJGKCn6kLvKpLkiwhfCiZgDGRhL+dRD5b7drO1eDTLDn8
Ix5PDl0v9RuO5A36caZRFO1CN8452F6OH+Go09yS8kXRmK6ZSY3/rbHbbGOrurEjT9vDmxlai3o6
KRRN6mwrL8FzOVd8jPtPUCiKTW1qFBdtpDyavF5gt6S7O5YMnFyLd5p90eoDY48yArlYT2cFNllX
4EaV4nMiWwX+yrc18Rk16ces4qj1Tn8mWsExldPPYTBzOxryXqocXWyxLk7ZCtKR2wb63XWtekst
Hm0516U0fhgAtQrBll7TL9V0MU+tSXZMrvOzFEKeo67q0aLeluwreckRm/afefbD/IGj3nzVhAG+
KDHQZ7l0xUEaNCzj65asqYfvqN/oVHe+zl4Ql1eIovTw9JS7az7VNk5Y7/04qlY1VccOY0yB3VBu
ZqmIStd1QR97Q30R31UiBxahFQ8f0Sjvte3TC44GagrZrBi9uztUDHLTaxhxI5cZp9tN5wGaPOv5
czJ/bOZLx6G5Phjp2uxT5YJvM7g0XYAUBWoRlFLakdPRrpxG3k7mxZuf+Xg5YBb0jYuXFtp2br13
dm+sMTHJ1XzpBIW9r4FwEG/O3tAMf8hvIiJ70s25UYSi2w+NS+Rp1U0I9yOPEeompfKbHeDQlQw1
pyfD6AxXQhbkYhSGN83ACTeZDv3zg1yCxN1G6LA//dJ5WOmgvvalpa3I77MOUs+7U52OGtZTyOh6
zqhKUW13qWhKePLMLj0Cc7onAne4pAv9opAMSFMjJTvYy3d9FUzddVQQJZofwiZKNF4djUwpbZLN
ora6aVqLUEOjWQm+iw4s/8oGRHCyr2vjNm/CMkOpU+m1ygEVO2aaZS0QfT7QlVId0GbHF4MRG/Rt
011qU254SJzLGSUm/PqxCFZ8MtOdEZRIvAQfWwHf+qJW5JGJXtRvQ0pHUxPHolWcnWlkNimIk+wU
/QdNIdGQKmUEB0cvgvO8T44J0ijMKm9VD5V1/kCZBYTHCnvDq2/rpAxhdQ1GYJpy/nhOH9Ryaqf8
LIC0/8O7qTXqhuNkv5j/Bk6vuct0kvSNQAFXRAOmiIws7YGI3TxSkF/UmrTm3un1U2dSImNbEK+M
NF3uMNdAnD1djpx9fRXhFb9WSJBz3SzJlBvpHNp0qadTu8ayvyn1Bqf31GerDf1tEEawiyeNn1qW
yd7Rm2opNZbMwlbGC2ms8SUS3H/zh2f+AlBtmKADBEmN4cmpVqBFjIZLy4eboe0i+1ErbBhJAl/E
Kflhbd+g2z9pMAiIO6gNRMPAaTDu28jo9MlikSNWbDBYnhrKYoZjyc4ll/TJUcuCuG0GBsj+hqvZ
wKAZ7ZhkCw2MHVIDvjqpZLyRhyFlRJ41H74rBWTwTrnWtjlpOBCv9sqrqmT3+T1IM8t8bgDMR15U
7AbLgw6Ox3XnCcM9+jbK2jpSq3uT0x4J6am+V5H5RnjCpNNqbDDhFs1kYyicE7IeqyxAkUyLatlj
LqBMja+YA/VtGw76VqhlcO6DbNVFjXgyA0oknfi9zdQPhKaU+2+67lZLtu1wJ6LWWJIhE61KcqzP
io9vzHW63U/FCs8Sk1gs/wyNXmMHx3Grq11w+ffBzZloD0rz59+XMFmti7Atjk4MOnUu1bKOMaaI
oaD6lDPL1AnbTTh7eadn/vxsSJmkRBFeNm6PLitBSjQV5LyuueV0pDFMG+2LSjvdVTX7XjmV3IWt
Uy4VCx9v5yCfJgD8ZJvQhacrMsgI8Ggx2zXlCXDe+LsyMWXboOb2qSzJnk+VN5N43JOHtWhhdnbO
b9prS+QUWBZwWh66hoII77r6YnSuA1mgJMZMcZ5yTr+LniDHp5/6xabxD03r74/OaujUcCXV/8TA
dlrv7Fq92urTdCml8N8Ct87g2XOpmkwOC9o+HKTygVMTD8N/n43GyMrfiG1UuyiMbPWdCpBsHqJC
wLbqUbSJkEC/D7GFzUIEnxXdFRR6zlKv3eZNtdTXGj7eN2KsRR8P5JiqKXpth9mYjj/6RI8mf3No
Po40vx6WTWPdNN0Ce4Sy+RHx1L5280t/m3C3nuKatWdS1xXTgzfoFrko7WZeuqSpiaXmEZQTBSXy
jRLDiONO7QEfzzPDPbRf6ByZvRjndroKCbi8xhrIB/K3GOVMl/MX/Mh9Iu+3WwWS2LH5x3AYVa/n
S3XqIk9ED7qk0SUpJ0jGdBqCXBWfklr7NV+ZrK8coNEvpbSv14o/tpd/nynR1FcnG3eZVxGEwNz2
8EyN7xn9wLvfBm9DXUcLPncFUjye0XtmG5+ehdNrStf/89Ww5VdLu/zne+fX5++YvzcNoVTL3v6u
aF1sTWeUK9WNjTc9MughxlBmu8y6zsqGqDMRfw6vnQ6WXiX6ez0XTgV5tWvBNCKWzjhlRAHKnRqc
njtcGoXAR9sOs938rXXVFDTNG8lnisBCT2uDQzjk8mBr4C9ihdPQwAHg0daZskzwCp+BeLDvJXBl
AlF9mmFVvfU6C/Ck1x/aKSg8N+SOANGQVODx2a0BXiZtEF+DcmiPTpES5yPs5LXM1L2C7tgUdXHP
jah6ZURlx67yiEPdf3Zoh8yv+i0oXmdoHpaqla9xJ8cjkpf2aSAL/DEaZ58WxDobJ3W21dp31WEF
JU7O+YT58KiiMH4Ar1E2UJ2UzXzZ19Fj/obanSRVpm2TycN/Pv9DXdGNiOwnGFvrfPYOfjPfKf21
6wTIBVXVOyp9jiyFvJXfoete+zGsX9Igq/Z9jYwyB176G20BABc/eHexIG5tBbclmX7FqxnQjYrQ
LNXdhw7dfkdsKWPh6VKR9QtRKvU9rfvm3JApCfGS1wOvGqA1FMlxoL/6UBOaZEh3abz6p2Ka/jaj
puz2uG6piHOmXhpqjV2Ths22BEh2NKxkE2ca7w1KvOW8PPYN9WCpkJhoIC/ibFffh9gEMqQK+acl
IkQT9Tfv7UQCaOsXK+xJGwqyetFHAlRVTX8jblxv7e4RfjJWafyyfgZIKI5pQqn2c634eB48OOJ5
0z+UIqeVT/V/FcFgc9JQymMqPWXHL2tuSQKwTsNIMVb0/mGuLeKsjK4+jZf5CgcZ7q+6tQ/kl6Ib
oUjvNLwKVjaU98ou1S13vrPpRlawnHPjhnLM3lRO6+w0w0jPfQbzKu4U9TXV+68GIsffiEgXDu/f
A5qWJxgkQdwFj85oEdkXbD4af+dDafdEZaQxicwZe9FoNOLb/eiFMa5aWShHqgBq2UaUt4bl+JiS
nrUsdb38najqriMC5DXEgLaljwojGsoFklSfwz23hUpa8CQQCh0TWY6Ws4nWcfDBcJ5kLB6PIowY
lZnkiFUYQBAzRi/4GKdQKiP4A5cV3npYkUaiP3yThqdZYCkBb9o/GTUTvpC5Ro1erIETc2CyX8Ee
4ZJWQL/0ELntSOqq0W4QbNt48N0w9fRba6q1VJMeV2Eh25nLjvm1Ynh1XIgOQWbGa1U40b3rxbgz
8J4SPcwQeX6tLIpfeRij80vxw7cMUoIV9A2VoRfXcEYnSduk2W/S/H12FTVaHeycTtkqgYr3qUwm
OZg2JeZQxDSA3LJFnceHorCGM0FECtMpt9iD7cFw1ySveSsgoUeFvrYhyX/oQIOyKu8vWeROomWK
M1k4xmZWBMOBW4Gt8R6WNWUv2Ex3fcD1WZXeElsqN6vQmiPSkns5QXHmh8Yo8Y7H3rkHO/XKDXRK
GQ5/pg5H1tCPc2y2hn0ITAUUSeomRyUZiHzpMvdJQxg1ZZGKux5EGS5L2HmFVO8MkdW7lKiOEPXi
wXOLX/J5rlCpn8msPsX3MffHtZZI/S3VITF60hEkZNX1pu4DZh9YNYcN4ZCBigwnd45kFKMASlKi
k6NwUgxuSUcsjtxKzEPqUqn2iLUf1CDIFYd8OMuams/vHXtr4KW4RlIDfeiztXaZFu/Jqs/Ofq6/
B23oPbW6tF/n/wD9of3KScx7YgTnPOl5bxCrAkXIj5IvnR7Wwm71+uLImh5rFazL0beOQJrFirlZ
srBc99HYUX8i2rl9qZXnElrlI6Ly22dh2h5j37jpuVMe+HFwwMBIapclqoplMkd3MxldUI12t0L7
negevKveV/Zz/WMA66hNlMmhxoYkyT9b2nFgwN9wNlqnow21RbVRfe8ellTnmkNSYpQhGBrbKYtb
70BQonBcqn1YfDQ5IAWv1ZJLPO2kvlRPeYLM4laE8aQ/idsONxfaSrPLf8vQ0o9mRd4HQYzBtu0s
qJuZ/ZDU0tusIpVsfhbSA8HNYBebFlfbJsD18gtBS9Z0C3c0Auib4p8vNQqrRYnAjypxXt8A5klI
X3pzbTM/2CuaqoELG+QLRLhA7s30nmjjcImVOEVV0YNtHsUvGz3xyUAiuR1d805wZrJ10A8/IaNR
H5lVfPuFbL5NjQmVWemfY8r4kmD2/CbhM25tqpGKSK0Nn+n8JjIU14L07T/auMwy3frTK8jaNH9w
ENiiR5cQtjJ4zCsBvvR3+Q0kKv9NpKC/1sau22nNhF5uvXQf6nAx7TxJfzcGFOVpIJBFxho15i+G
zMP9/xg7r+W4sWzb/kqFni/6wG2YE6f6IRPpDZm0Rb0gRIkFbzf8198BUKer1A99b4QiI5FMkWmA
bdaac8zM7IhaA0dDGIw7/hGikixkrzzpAjGlNU4v6GvlOZYawvu5hFDWrJ2ZqtqLCymNNC/BXtBG
c2ljG9xGPTjjNZEzz47W76mzqVdVd51LOYJswIAUvVcp6tVCvTV6azzmVRttsPuZ+3ZuTeldczUZ
vB5MByV4llk3ps1wjfWxOC6791ShVomZLDFZ8HYGfqJE9Am2EAqZszsrQ4KBCwAWVk7YNHDc6UUJ
+oCMwVp9yQOUhUrxjc8crbA1kU5ioALvNDzWpSviB03MVS39Zk0pw6pR+8d0oFBQRSwkc4cSa6qv
qYvP3EIr/YN9XHBK/PLFVVNxRhjAenjuE+aSoOUYMQUpIsFzRZXtUvskWQN98EzVPi8VARfiGcXG
+loOdfNQTgxr1qT3Hqt11vSDy+hL9QF8hBgp5pSTus8zH6nroLnzVOp/fl41l7qCGPDBDazyppXG
Y6G46i3ukwdLl4y+hEZsozbCyZDaH+qQBfe1k4sH3/cv+CDfgmxeFVeYuNh+vCUVZYEkEcZ9S59/
VemISTKkRTj52HaWEWklEHld2LrzphSOBK7sXDnJ9Nb2tXHXtA7aI77VZyR1YO4d03xvU5tyZZ1/
XSqFYCtvWijJ3iDl6c6vfWPXRVl4ylJk1/2Yyl3rj+G9qQPcHzqSiSogals9HrIn1hUUJgM8kMsh
JTVeqgE1xgLkt+zkdIPn/nWozodmLTMoO6a7a6dGATTvExWLyW+znEwRVWLKqy44rEY7fH7oms56
bypGZbcYdeSEby0g8nHx7tTMJWVQQKGfU73KOcfF7lSioxXR4iyZH1RxxdNKKMmQnA91xYrvKA1f
aqP0f1aKoHiSra4fl62YWfbJWZLgVhKWcK9U8TMfrPJC+o1+7Hxy8SqBryhoSZx00u6dahc2kUmt
H5tSqtdmSs8mq9By3elkkklLzY+UgevHgLXUUa+hQ6oky+sop68VdQIb4lSUwVpPxv3nMRlhCGOI
qlqXglifuEWOrgPzMLd1Dm8HSIlx9JlkTdxXSDnKdKMUivmol45yDQjRcoGKLhvAz5tEYStoZ2+W
Ys+NLTaGy/7RKQZ/m7k4HacBjgKhS+k2whYWtQ2ssdZ1bRRXFPcSm0BZI4qcNxqDezuKoPDPKkLd
5qp2OxvjY7cJc7r4jKBUDmyiQGUqrUOYqrW3DCFBQZUhDaPyJOcRRetUxt84f0DiSa3Xr9A0xVa7
d0zpe0uxfrBpqvUkUR861x7u7cb4UYTjurWkeKVj6+xjFNzbz0oIM0dYhc7Jl1OOYgFNMRlA5n6R
vEfZ08gp7UFkES+VSVpIbrnaYTmUdGLA+M2VHT2yXupQbGq1PZViiI4ay/SLzqA4IELdlDXzQdQQ
RGVGDBUOJzhKWsUssGfUeXpc6l/uiHoFWuhpOdLmapgD39jzcakCUzSPy/JnuQFqe+zKsr4uRwTH
NceJXREY+rRh9mSpFGtGQaFWVe+KzB/IhK+rQyU15VDXxqOpzg3PWb7X55Kry/FfE19mCAUqAFVz
b6aKFYjP9IdvFpS1I50JfGfz4XKDPMskDhBgnDkSGOzq9PmWSymV4yUm//v6eZn1Ln/ZsvLPHy7P
aGno2/RGrstRkLC5GFsSFaKJnqyq51jrhpDYjZ5NUU1vst0gsTv5A20Kvfp58i1nYIHNiX7slKPA
+N/qBVm4GEkI7khUTG4iy9112DjBQ0q2yNkugU8i0H1YHgo62e5oT/HVz89YfmAquYrCaSp2y2PL
DeqIexPjLJTbMgX+qTfuPgOGN1Q6HUzgZN6EN9MgSi3zr2SC5SdOv6OCcYotm0N8SEfaTE+D5xnQ
OEY54G7PuYoVZWmgdaN5WWrds8JMH+P6JOAJ4xisvglXB247W0hQX6VeVMf+sRvC9jVn/mgr8hKi
3HlYhP9Z3p/8muYBl1L35NaCZaRhNBuYio92B3CYNS+SQOg0BbQZlNfgmY+Zb037yqqRzFPGhlY5
38Rd+/OeBJp2AMiPcdLf1b7eIxdnJl7M0i6RHcdJ9C+RzKq9Q7rIqir64fLZPZ3N8ss9vcoe1IAu
lWBB+PlQlBIyO7FZ2zRmpV/nVwUV17/PFxKRaPx7tew2je5G1+Xx5UZRtIgdKCvYUvMBgkS0IFQt
cinu6y9hUigHGpXqu1IM3Y7wdGSG8ZC+LfeIq8g+730+pjPyUqhZqXktbyKiyi1Z7G1xbkV/YEU+
VIZW72nxqGgdu50y5u3bFLn+LIUez7ledxfDdlovMaXqiaRCueBPX40ch8UyoHcxGhjY3ezp0ltU
IuHs7WOm+c6xb4Vxaeeb5R4mnuxilbvPgyE2L+CBCCKKkLjpi3s2MkuXMA5clks1rx6Tr3bdFxfh
FM0ONne3IQ2Q9sykCY/CX0m/3lBfRsu1V37RiFM8OMo5K2uN0gIhEmPavkxxbxyMSDJCzEWlMBfU
dwxU9gWFfh9V4r6z6G6FMvRxEbzXnUMhHwsNfprAPZjRHQNz+SoQvLt0Tz5t+lZq3aYpDR76ut0S
h6edepZq1VYfmRWk+o2dAFEhLhukBHrASmtsxMPzjckG+rQcAjPlLBtsmBdzv3bIk69BbCZb161Q
revYQ8HOElo8/3KVbuGp7dr+0NHh+eshwyWUcdkIq5WFwW5e9iEzNw59REVwWfgtj/WJQ0Yq4ArE
OOSNYRhqg8I4ZFEZX7uUyFQqRypgP8s8+gKz/ECa9uqzQbccM3BRqVX5qvIwFHvNNaazsIOYYi49
DTtlzsnGXh7NIu2vAlJ2vZF+k6wDgfqwavp7GGDpBaHzvTOmxsXszPXfFrh0GePtdF8PJK2FkQtD
Ze5BLQXe5V7uGCM2CVQ3+nwzklztCdWdtV/lrP7JqoBNjB/Zj3ho9WfHnt2Jwn0UuWo8T+XPo2Ju
KZlqN5yt4gedK8gLth1ctWDKARNxyCrlLhs1+0Gdt3BZIU64AfxHo6iCY5IjLMz9GRhZxc4OXUq9
Tupe3/jphIWk0+cANDUSWy1VMFJYhcZCL8OTZrbWz2OHdctWlKJba23i3DsZG75M8VtvoKZ5vzwG
77M/qJRSiAWbHyuCgTU98Eg1LtCsM2XykT6YU4Wl2VSDfaK4P+/1vfLh0KDY0w2SHiVB9y2kGa3l
BBiwcOjugrg8lb1ZfBsz22G+jKbHyJngw4xtt1WQylKH6NQ7BK9IBSod9aoJ7zl1rfskS1BjovUm
RMmKBaFBFarsNt4iH4Rv05WkISEvObnzzXK43EyRhI4/+fdAbfuz2/gdXGnukZoJuak0hpOfY1fl
4VAd+rPi24hKFnaGQghGIgnSVis0/YUvyUT5102TGMolAox2bug2ESYJLXLG3+XlAHgeOTPAb837
HHmtsDhP1No+F1xYg5hjVWxiy5KrIT93P86CQtb32hoFmXVcJDSVxoJAYzdnEux3k+TTLQ8nXc5u
jV2G247fxop9iWIX2q3k/FoXjoOJUAzqbfmBNZPyzKqxD389NljTvekELZVKgtwQGOnrYrDrOwMy
3SqKNf+IAkKuk4JIRfLljNfQp8OcZP0Tk1Fzb2Wk2c4P16Qh4/LBEY6wemswm75C4D3oIALeG0HB
aDSc4J41lI3cJ7c91D/Ju5Soh5hCwxgF1AAXxpnhIg67211VtM6xtuZh3pkLlKS/PipGxWhqjc43
swmI1MUVZtGsdDKikcJ+oLktTFrPCcHhQ8UWMDBxgRtVcq/ZcyPIyBUwPKzsJQ7YH0XyFDaN/kGD
EY1nFtaog0trYzUUoSHnlOeKLdqGhK/+me7m7CF09Y+pewOeEvzQNQfbSin/8DN23SmdTGxOyXQz
CC3ehCbb2YHuyo6ryD37k6XvG0iMR7qzwxE4i7InTHRApGxVu9gn6IGtmEPzY0hvdsfuLpTjPJtp
N7rXAD5Dqb7Vhk5XO2k+3JjsTBA54coEFI+eTv/I0uqFOADnTY18KmJ0gp8ip9G93HfDe6pnqCRY
vJ5tCHpHDNf63u4ueaH4JyVGEjiOpXle7rEMN84BoUG75d5fj0W/PhYkwjpSzCQHd8gPHRWsvYit
4ToONnE2k5Y9h3S4EQP4yXfg6zRKBiiQE3CZIBm0dza9w0pXhuKuMqy7GD+eh6asuzNiGuKGjZuF
i8Y9Ui8P9uBFHDKkgcSPoRveVRiOR4Ej3pHNcKTUBWDYZp3aI27h/FdxC+E0ako3eFArTl3oDNln
349dT69Eyu3Lb//1z//5r+/DfwcfxX2Rjmwz5T//h+PvxHSgamZL/evhPy8RqV2y+LNZ/tu/nvZv
z9p9FNdv2Yf8j096KjL+/ftT5lfzr1/LX//56rxvzbdfDghljZrx1n7U48OHbNNmeQm8j/mZ/78/
/O1j+S1PY/nx+xc8tHkz/7YgKvIvP390+PH7F8dcPqfPj2n+9T9/Nr/F379s62/5949/f/4HzL3f
v7j/EKbrYq9n7nQt1TWcL7/1H/NPFPEPjcWa7tqOKrB+aobx5bccwnn4+xeh/UN1VFW4qtCEZli2
/uU3WbTzj0ztHwYqOcsxLQPVlW1ZX/73ff/y/f31ff6Wt9k9RddG/v5FE19+Kz+/5vl9EQ9togrH
FKpbJqpA2+Hlld+/PUTgvHn2/0kq1CB+maurNOvHfWcM1oaqxSxa10OYoE14TkVtbAtkYI8Fw0yf
fzVizix6FjDD7GkageSX/RmgcrD624f487X+59cmTEPXDKHrNlY7duu/vjY1A4ctC0nyU1bSrmtb
4rf95r4KR/VWpBmt41EnrLM34l3OcHN20c3s87pGCjaySO7UxvGaViSUrQ3N+88vTvAN/PrBWbrJ
56+ZOt+Sa1ucIX//4KJ2bo7XVBHGThBn1Eetu8PJdQkwB10KvTa3pe2gxHfIM5ilmBmstk0nNKoI
gqA6mu/A91O9uMYTK4oJTZE3DIDlcmBxj2GUvbs1cjnq+WYd1QeiOVmNKem9kcCxcGePWZ/h1cKU
RQpqIO96fxBrV6ReLFN1Hep5cJboyK6fzmON7VLJamxqG/0QzIw3bQjWC0OjCqdnGebdHZrhjYP8
Y+sb1IaX1apLNveeyjMI31j3FoyLQXXx7j9/lJr1y0fJ1sgxdAu/PPpEXRiWMf/8b+dgrfU29seQ
ZhFj6ZPTKkjMEtPe4BEWp1GPKYfNplfHDWDJuJAWW9owZ3a3j/oo3gPyAzGa35ZXnETD9T+/uvkC
/fWLZg6lns5U6s7/bK7Sv7+6ohIRdoykJepuohMnDbFWp66++nBCN+Nb36jhNTbcbJOUA4XKkjJW
Auc5F89d2dFWr7+VKUK6RdFeC5b1Fkk+flR4AOOqg1HFhudLGRwG9koU/cMWHkbvcNLQ5UghGpA5
bh2NIax35I0dOsr7G6vLCqSZpXv+S2HjugEcTLYGK4WL+v9xtmvzpfbLMCFcTXNVVRcm+BrD0X79
EIyitfwmMMBoLH9aBSdFeWfop+IV57oNJC6Ci20+LZ4+J9ZOWlY5B7VPp8PybjL0eJdFNpogfd2K
UHv4z1+TcJ1fr0hOI4sWtq7aFtwavP2W+utrzJzIQh5qJSsN75g3DjO6snGvw6DfqgS/i8KqZZWN
Qt8VWNB8NnZAV69+QjRv0Jwj4rFBANEBGkvtq5O5a+F32aUU36kCIS8Msb+zGyImsZ828bw5SiXV
9VYjBrortXfslGhlhpFEtVD/M5w/HXxlbwOOFBuC5GnSCPSCtr5L8p5EBLrV4IXd+kyTEunNNKsB
ygo6vnaew0BPbdo+hYq+smuVQAbCSJ3Yee5ieqCJ8rXCzbUvC51g3hr6XaPuApDyBqWqzAo3gD6M
VS6yK7Gdoh83dRhjuw3rB1uldoGN0NNYlJpST9YE1U0wesKs5/JBjDpONMktQFkmDCojcd5TNK74
Rh8Bkr8qhEVSCAmVlDqfq7GcD7RnEDSPtvY4lXSs2Pv7oNm4eqcWn7Ee3zKr+1aM7IQpGUycyzLR
hrss/LPrI/NFM9HjERqhcvGdJle7J3siPrisO9dQyOatM76+rhDNpUZQsA1TI1kDj8hveX5hTIkf
RHJHkaGZ7pF02F6G5pJSUmcRAUB2FO1/XcNgHhEgQX1xWolR32hBD4pDDYB7Kt96QB5bWY93VAZ0
FA35zxsBE4/Pz77Df1ywdszAQbrl0SYFwhtM3Tya4Ns9NzCDBxnG/QZgdnlnjwEJdpUmzlohXdZx
aN0FHUsKLNFOtKV/7ziGgpYnla9aOP0Zpo7zo6ffqlH9ySxk/YoW3i037MXM3TDyKQek2hha55+7
zEfpZ+WmteEXAPaDaMHHPM8r8MqpWSTmh5m8ljQViekkay8ZRmC5fvoWu23xNRISw2xamC8Iw4Ek
mqJ/dGa3Sh5Z59bM5VWlXj7kjL6yZvQNwOyebf+oge15CtXuzWzL4brs6TPiazBDnGx36O4bpSHv
s0s2ulWZr0lF7AwwIoR+RrWrlEA+K/jm5djbO7Oe6k1ZhSGZ7QN55I241aKZ7rrGJU5rKK6oyc11
IwzXs+pkYxi6c3Cxsa8z8H2scskunxwj3LZjqQM+xhoRcg49g174Nth68dWv9FsxavE9U4ZcI3Bx
j2QSahuzqQmo5kjGTik+f1CR75L3JnqDUMlRFxjK8fNGV66VEWQhY4cwyW/gGq+iMjqmdn5riwiG
S5bf0YmqzhXlC7waofvq+td0SFzW/I2/CdzpWAi3uWskJmc4gjALh3zcGpKgWVcdgnIddX29trHr
nT9vhOWswVlU8bpFY0WVvW0uf91I3SebrWBqdNkNP3XS3wWk3fzhS9XaE/OALDQPdZIiKp9CRGhs
0ZN1SLw0SGshDTuVN6iDziLtHukTza2XSLspUfNhZ9j7hyi55WjB7+yssk4YrEiLwdCGTFH/hnOg
GMLuPapACXxWtkwuABS7anIuS1McUXatlqM8bGlPUIi/bw2xXYTUjhFp57gTl0VqTuvgJCOgLVGC
gzemmrdNxFR5dVvolLDiP5dGG7MGUNVKvBZR+FiOKoyEGclFj5KigD+KdYr3WV2pait3GeCdY6cl
zRGE2QjNO/OIREK3I6b+QVJ69AKWCLQTPuXpatN/aLV8j/Re3oUGSzJN5EzJupoeK4cTzy8zVI0y
Py5tU3QA1c6qcZ7r8gGwKsUN0jyDEqqAWf1Nl1iPIR+vD7s6dnP3GDVxsC0DZ2ObsXbU2GKspzH7
XgS04gZ08Qe998k4PaqjBj4WWM8KqGf0B7hiYCdWv/4UcNs9SqJ0ro9ua6PJn0TXqPAJCmXTzIcU
gVj4To79QO7jRwdn/S6jOaxlQ3BwQvPxL81oa9v6Tiuq9AXpJwRf3IjnoSYrpm5r6QU2Tg1k9bnX
DRTWVjT2GlQDoYsfwv/2l0MwsCIixZScdkufq0jLWDeOtdk96PYISBMb/cqcMhjLcZCdAzd97YTV
PhRK2z7YGeuhCMMn7hhy0JCuV4fJV1nS4RWiwZOlDP2GiTmgG3ZjyHTttnl8ihRTFitlvrscL/ec
PG/RYCeboWiD+7SPIm95a75MUiKuXmsQQd/oYjYbx+m3kq+0D2r9LGAjA9/BqZSBYPF8R9P3xiyS
4erAR4dAAnsYFJvSmFiSMxlts9iX+LHIGqbijbbXwsu0LLCpMRP8pkOVUocN0mH9Ylt1vZvQLFV+
bt+A19pQMBwxz3Q/lvdJEvBhgeXYTCRrW9bq2o0gdU4QUzyzCnea3uSbqkc4E4ITAvXebhYyqtsf
dU1UYM3TWfzuoGUfQYGU5P0pVVacAaAxwI49OqEqzJ/8qoIwDLpoHTRIEQPal2soTJBmLKN6DAaC
mAztQRG548EXZGxfLWSCqAqfpro4M6V1DzGRcER/uPhWYudWgq/BodDnh7DK2adMRrvr3elal2pJ
ul5wklbbkpKGyBgr+FvWUfbtNobePYPVdo7m4NTbxhHZFsYGM7FjpFd7sgl0Vcp8Gzbjo8ue6MLV
WDwE+UdTatYr1bjc04chva/1svSmTJXQQ8PIy8G+q6KvSZvk6VmtR8fAmlcfsn9vwSKeq0qvHqNE
+1qMUUeBM6rR1Adbw3GFxx6u2LZOcaPcnHttH384OILWLUaVeCKknvihyGKDyayCLV9+n2L9B7HK
4ZNBVB2FLXMdVK04yrG71h0eJlsrHUwZSXGuE6YudllpEFbEjttv0AeaFfFK1GPy7j6nFnCaSlWD
lA8BxKgfyGHrjixR+itKARixELhVt9QIM4KzirFvhTNrrUePMVH1ofnVHOLggLaQvxmxRKTwBZSX
oIi+ddeFzX5yyF0E8Fl0IVNXX6f1pccq9Dw23UV2xY1OKxdLL8lSn4zt4KuFh1LtJdYCgVlK5e9H
SUCmmf5oxcaLwVl/4rPrJrQ5A4IQMqVOlTlGx7LHhbS1O4B4AGYuRtwUEHXJTwSH9O7ye4KgI+/G
WbVBmPKtKdlmaJVtA0e3I3mj9BUUYmTIqGx87Tbr4LjZ8Qa86riZyvHOclgwQ9PwUF9be7M1t63d
5HvYpABu0NcOUhwNl8xOt3WHawu2uNX8rQ6tDDOXwjINlEdpOAN5k0RyqiunlMGNVijqx0pI1nv1
xmgfh6CjPTP8qcSqse3So6+GZ83Q5LpgceeNZMKRgcEskND8VcfxK5bz+MHIdgohQmaBCsa1j7pq
ECRc8FLaENkaoT3ohctTk5TbRqfBZkXzmk3duWFrr8I+v2MrwmxY64MH8TJSu00kUGunJkkEXb6O
Bv/RyhW092A3g7JoPIv8VJG79lpk6Uc7BlcTQ94VScMa3VyOc36ObSZ1ukQtEjVY3of0x+SWHpJc
NsPG9BQGUJuqAk/W0DGGNcOwp+12xti9loAEV/bI2e6Eg7XyYzJuWvQqwn2zmVto5ZZUWW3T2fta
8RqnMLs6JBhreK0zfNVe9fXX2qDfHQk/Zj58o3zAKNmTdUILdjul44c7JiBOejCIqvYiMvSnqBfr
U6iUl1Z1bjpWTE83/HKfEk4NzxeLhfZs4w73+kL4eFniuxi97ybSrT8RkzqLGZS/y2pt1N5yQ29W
zPB/RLDY+U5Eux3L6Wg4Cok3/kCYpTmhcG1Ir+JaPY9pfy+T771VXwH+Z9C13xXk/TvWdcNjlqtf
1eeW8x4nxZBSXc7XuSux3MKE68tqOl9QDFLbr6Am2RKWdG4hDBmKszOW9BPi6Z02w15apD5rlSSK
LkL1OGj5ZizhgqQpW6ikWaelSLZdWA2bsDEetJENWkLMDG23ef2eC4ZL+NAz8ilHnYHMLVfxcTsX
qZVPwu1IcqiMq6C3QxkdkE3H6WzUWATLbtykcA82fg4AOWiGs81Qr2KT1fGfrfpx/IijZKcHgvDL
xsRaVkKYtt36JA3Q4hWLydhQwAKOznOUmffjUE7brjVULy/cjxjpdztWYqvCZNrlT7aeEniIjSIo
SACoaAh7fsxwGpB51kpyikfNOcJdXSddZ+/VqUcpawWWF7DFJPjjCejYOvNT0jkN6ZypzXfscWM8
1gIVmFUfwd22u6yMn3PFdx+REa2sWJUPShL0wHUbDJfZez+RQwh6aJbnUwsZIGqqbtIe5j1RrMxZ
21DLKyvmIklIkheasu2dEIf7xCkM/RCNizajnZi8LWSjcRdNJ6uq/JUoh33dMf6HrYrJ1cWsSBDD
OrdJbBZEXKWSqPXMJY2K2uOfEbUFr1RFcWoGOGyJcy6UdGI2ME5+YPq3vLRuLKpUHS2gYzo36Gsr
HdbMVNi3GKvWyhhE4Am7JoEHDx/imNybYjO/SDKlV5kkaCknH3UzCVJVK2emg2rnsKu+Y3dlamRD
xTlJllLbFuvch/xqw75fg9WDaI09a8MyyCiwhDgk57JYTod92EDAUU2LAaE6JDhKvanMTI80acjX
5gpM1Q9VEw/BWIgVkSNibRmB6TnIizdUJtO10FjcqbS5jArlkqHKdePysQJDWmtFcQaOwRCRJ7Hn
EBjSzfUI3wprJOi4AouQ32TZ/QrY6EWLfXWPsfhE7oR5GHu+M1GP2h5CI/4/gS69DkgcbcQbRYFi
pU9fpTYkO6QR7bYJlANEqQzJmnsghDJb9+bUbvIp25fCTx4w0W3K9jWxoK9lfSG3dFNvpDNS1WEd
tx508h4d3Wd/K2D3lRUubx9FZtIHxMrQeVpR4yXOatDKda7yGWQyo2xMA2mjZzFpyoyl2LI7Qhui
Ta7047p3hj1BIsRjZGzR2T57tTPWaxwDfAdj9AdwtrDryneS6bhuFR2uHdmrRkhvrmSFTtsvOyiG
JJ6zf+sUj8DujzEieUbAQCKn3XLSQ1GbxEVaj/YUsoXp42GtddrBNLLRKy1nW4W9fmjFK7DPaC0K
tFSJI3exyvoVzhamYFI4HZJqcKWYO53CwoNdjrcgpnPkJHgtwCgSaZvHAu0QY1kfkZocXwKzGqAF
+hD0e+qWomIqor+7CWIalU1BNFggmbtxDxxgrNCLK0zmMVOVnNht4mk0E5G1kGo6QkKEIXzQhvzO
ssiEnYv1kVP5x7gLVqUI0+desxE+T5DbSWPaqWGVkM9btN7UoAHuy0std7oGP7zP+NSHjA6sKeWJ
0pB1ofZddwykka4jHUwoeZtqOTtloo2tDa9gdtMjKSmPdlsDtnPYotGZ9MY5M8hRJ7hNunUGF9p7
qtE2m1pjZZS0+rgRLGt7jasCXDvqAXKxdbMomeC6ziMxtqD8kg0bx+y+6hlceT39miNl2RbEGHim
gPSSVuYlNAsv6yjkOtZjM2rm1nSAWEoH968frnXsa6GYBzQ6A6Yuvd5A515ngGniV0uE76pit16E
8ygb7cemrV7CvMV60+XEH3eDB18M8NVka3vQU4qCLi5V/IvJ/LB10Ng5DV5XMyeueBRo/mKhvuuU
vryqBtYrrXlZRyYFJu/ksekI+1Y1fB2Wq1yShr0DyT9ky6X0eUsn2dR9M60F1O/VAGPIZHRg8A/Y
aw2YTXQ0utLWAiKZYIdmObbOWH+GJ2Kv0nKCE9zPUfaqsR7bXPc0BehlZdvKEbdYRfVJ4xoa25Mk
inZtBanOG6So7xvMqVkUbJxYJmvOUwKnVf6P0j0bbtwcw4DrSkykRmsyoZ3OVrfqVqxnSUnk/5Mf
xVo+6aGn6nF3RKhAC5Zl9VlmxVWqIOVcYXRUyPnrU6HA5BmmTaYGV1b6lAPJ8ighAVM1hAOXMfAh
YCWMRexLgwJOWQ4ldV3JX2gstrKhh3zorXL6e7WkuhJQ06USI25yHO5CJzlGgribUtGBkWy70Se+
Qw8BNyXmxfJb4N+WYEhL5M6JoG0IQigJe1QlCCJ8b4QQb9jOPrmaM1FPYy7hVKoqZUeHovYqmyoJ
+z15VAzi0Kc6JnXJCaxjnlo4awiJXEu02CcNhsdJ2ND12oABsO5RiEwmBtq2qVnCtKTF2GzFaMtv
YlQTXqLW8FSDAd5wDPm+qd4qvh9QGu0hQYnvE36zi5RQh6o1rbsxi4+1LL1Ag8s/1ONRa4hbLK2M
i17NgFBoR7aR44tRmxDjSs0gqx6+V8sALIk4u2d7Ge0TUYRbU84kKRunQKBd9Tw5FC4eQJgzmBQ1
JFLIXoDer1rZ/BlYAw4pK7xidfBa0b8ror6yOfDUcsOy90rQT+PBxfomVY0Ia8e4stAAuILmsLmE
rfkHNohvdhKOq2Fr9b5YTXITh/b3YeQhAymWY40HB2lXOzJSW/B4K/Gd1dhDwt6Tib1LrQ9f7kM6
A28lJ7gEF+sE3YsUyPDRWp2rjOjZdn6T1ZA/qTCtV7a0V1Y/Vmu8VRqTsv0Wj4m9qjX2xyL+aLP4
YUREhJXC8vNr6c86oJSyshvTHupWXUlt0vqOXuhddhq9oCAGZ4uhB+b5w/jdHrieMCi/ahlZoSwZ
nhrJtkWMB31MtTW7+NHTLXS0rMtWVsbbTFztB3IN6onaEyUwzjvG8Y7M06D383WvYHUMLV4k7Giv
l0xCTWV5JHLj/bJLdAvurkrU56YYqO8DL9iW0Z2JlyUvjz7EnVWHu3KFruEJMv+dkuFrh3tl9zUM
fTcW29jpYGBU6mOa5C+pje0IE9O1Rvq7rh3CqKw5O6aFpoS8XJpgTJrvSdW8gByk/JsR4lZa4GPV
7tHHrU2UuLIPNfQwhk0oNzJ2eiiagRVNwU/RieLYyxDkc6f96UYWDD86nSvVRrQnt4kl97JGugL5
haababdUv2fwMp6VxsWNFA3mO2udYVuH77STNpjJzTv7uxRzpcVqzENIWd4b8RPT0FfXQc26lAwK
5tf42rKKPcS9REzD7IKCzGe0T1map+7gX6Os+GgmH4C1vChEzGH1fWmon/N6ynqVGr0FkMJ3GKp9
XMECe2ZWBFc/1IuNygB2K/H0e+H9qBbtJQ1asav4v82ob3m3GW5FzVOj6msP63HE8o5xACnPYKYf
vUo5QU2++WxPWZwPf5TsT1eOJII7p/m58aWZ7YEKdp4bZeu4iYZLTS18HVhsygsDhdoIHDSTvvI6
e7ptQ7IG85XoKKz+1ey7k2ujr1SKkCyXpJO3ymgeRj0i/EBrgnUs2mjV0Gc+y+6ZuTzYS9jUBNsn
dvPeyOjZgmf1QBcYd2qQvFTy/zJ1XstxI2m3fSJEwCaAW5jyVSSLXjcIURLhvUvg6c8CO/6Yc8OR
utUjGiDzM3uvPc/7VX+rnEx9wFxaUKt2XJI935MikQldDhopGw0Fp8T4lrS0r9G0PDDNTvdr8tvs
mKcCCs2hMnUe4MQ3u4K6okdzGrAV5yHT+/bCKjoorTJ0plAAEv5SkRoZjEC8IiYuoeqS5wjTk9c3
Ga5ktXaebbv42zssaAke/MiK6Czy1fHs+ezUJ9iwHJ6DfZF69iEXg3EwbgqiVgJdy3d12iLjJsPD
60fKcHOJ7r0+Tueuru61zgLA7Z0KIePml1z8BY3RKZGwaWBt+F1vMCKo6xI2U71QqBOWa+TjCe1F
FrQWD5ZhI3blWw9GtGTqB+4JZ9pJjK92XZOhnK+4gAXOwyF2mSw4FEsTuLQutj1OrGyHcmjnjKyy
p5YLhuPXJBVx2zNG5ocRN+lBJxDLW+J+t5rKe2tLmCl6sZWJeoDq5XtI3PpQLsqrXtk3OO7xls6B
g7iiRagKUqKUqzGSRzqqRAs4XttINeg7O2wiB81o5TXs/DwBmiMo7fglGqOPwk62ijn6jhnLzDr3
/DQAxMen/2JRqaraUzlZH7UJVomGQvr9APNhtBoKgIxKnfEZ8HKCQjp0Kk9R7eJAASni8cO9E0AK
WtXOPoVN7c9n7PrY2fhG3OvcIIrYij5IeKtrcdVAbniiRa2NYBEnc3Vw8L/i6ZhxhWnzTh+c91wd
/hRt95Y7DZqJvt/3jI7Qien9fk6bR1L9ApkO0MEjBJvlRHUi5/wMOuhFRP2dmtSP5GZIUrH4I9wu
dlMDcoX+ychFskPxRxVnsOmbUbhWWVVRjjgYbTo0HjrSsQASFztPcyRSwCVIzRpMi+0dUpwxN+aH
uKmYjhEMketLzQKNmQwgZkZ3WX4x+uxWV3jQSFAHQjSBkZZNG7Ds9XJGq14km9oHHjZHkx/bEx4o
tQ0W9z1J7Cc7crVDzUiCsQT6U32uKTIzgS4b4nCn6c8kasanUmFTaRbxCxz4MrBAZXoEHIWuyZJP
G9BdpjXmQKIpMK+SlhOhRZ5UEgT4MotA5Zi/agz2lIQxbt4zaZyx+zw2FaGgMrqvNqHpRosNq8mR
HjCudrV0fVd2Zb8JdMdnrU9sn3bk3iv2L6EP3xwNts8hWfgTIy3PLbWPgrmybw0VqTbAYGz2yhKE
WqozSlJfYGvsE4VRgFgQgzvF+Fms08Uq2uhhhpiWLe6FQWjFVbVGQc11ZRJqFUUESH3pTaHtG6v+
xruCDx3zB86w+GnkSETur3kQnU1vGLbWRajHxKF6ZSPqIQUDyJKnnJsl/p31UFjpd2xwC6spI7hI
m4HqcTqltGIyGcRhbSB/6JKXvy2haxhrM9J1sEuJHmc9+po69mWk2HBmCCQBRbwuBKrOvzYw3ziz
7YNaM4C2y8/9UpSh4HE4SWiq9Wrqp8xMI8Sa0L0WAVcipkhZsFglOtapkRdNJWdRRJDHwHLHdSCm
/tgicvaX4Q/6Mdy7tmsx9h1fE94MC5SxZ+vAdbHTXZKgzq1fBZvpt6RsH9u+BKOjqeY+Y3AZtpl0
g9EASB+rgqCDlBWhzUGDV+MWw4yjNv60DAUh5iPK9my/MOMCI9C9UPGbXNSk0NRQ/IgtQ6TSmLbB
gklu9FmcZaoLUV/2e1TzNr0kVC8XHUvyXbNZ6nV81zHS5L4bzOfKRE2NiPLnf+XaUsX0wPy6jvzu
gk7MbAZ0+SzupnI4WUsHp7oqni2ykfO8tCmZ2I6yZQlnh6ArzR2UHaBLRvJOid6VBx+tRcYqfSR0
vXPRG4u43rhqaX7qS4ggRXUe5+lUwjAOBEtUXl6U+bNyJDL3t1VPhBCoFO0rDDtG8KVZfuQkWyi5
fqOjbyf3WtA8aiL+kzQ9d6Aiw0ggP0i594Kx01J4Scy/3MRB7tWYPJElhYr5j5Y76DUm+IxCauWp
FR9ZrAlUd6g8hnG1HmRc7MmD2y9Ib3cYfRiaieekZCAk7KYON3GUO1T9QR25yRfkIL2jvAxkhIbA
BqZwcTYlPv1s0BTdv6ZoGaXBG0iBnYLwGXv++Ic2OHWo5cq6H51JCUkepHxI58Bh33vsXhoii656
4x7zouuCYtSAtIKa8dPfU0FImTRn2PozzVZHL088KDW4XpBhz5uS9wlqjUoKrKbt1Sg05TI7H23f
xhedbAE/iWKMx+34UMzoOFzxt+wr+2R3/e/YfQYFQgQ01yiEG6FeLbV8WzueSyBKM/qMZLpB2HpK
OiYcvTqqH5levimWfiiapt67UNJ94ALUXf5czyuRlPXfvAK4Kt57BUnKQOVhOtZJb9azmlvZZaRP
T8av2Iop5CJUfmnCr/oo/VsufuZ2MMWFaGjMyTZtu0tRiSFQc87qtO98a4FAnTgJ/sWVmJ5M9Vu3
8RUrnW5kyhwk2a5hPM6PEO8ztHXlurMBRR9cIqCbce6OZiVZZaIAMCzoRIvyewG+6jlYaPy8tED1
u/vU4bgnUkM95UDnT0kXR6EhZTgO6N1Bt5ej5tWTjjDC7EkgZXa8ghpR1uE2w7BpytrYVWNqBIC1
N9pRJfypYiKsOTS9qonXG0hC9aQh0QHJXwnPEPPAxEnZdQptR14YSWgm7nWwOcpJQYN+CCO07+3W
GyslhYn72bJiPA+LfTQs2qtGT2RQZzV6beUbo80jcLL9zIO9U9uekHr2bDWkgRFIWMj4zNgyHBNv
1a32yL7eX+dV8k10wmKtYwCx5yaXvziuiH4o9CeYktwDQCB2RW0Rn9I6+pUs7BsZwHyq8MSs7DBj
oqOvpQwwVMa9IuJqz6hpe7gOpK/nF7hNEsF4FQX965KJl8UtvhYtxj00WleDSV6AzAm1FDNif9qm
sgo0JIb7nrSd4ZhYy6ta75aO1Vwep8zFie2InJA809orMuWr0rC2N4lgE0tLl7QuVcFCqEjC6iKH
RKoVdsOLLp+SzeVgtPoeq9DvdHUeXMZOjGhiprU6u+eR7AxzvPZjngaG2iI+KZicCvVLyuxxqRU1
mOn4kOXSDqpGQyYy1uVIHa+gqyhO3O6mKupZzcaTnZisr1wdzIYV3VBKgdaIQXsIyi5g6iM/6DpR
Vc/9sLdetgtHiKceDnioHWJKA0QbXaBtrerQ52/DsN7agkysmpmUPnevBHv1Y/LGMdF7TqeHAyvE
U9WnOWXSaIZS5bBKR8efu6tpunjyWdv2Wcc1tlwHjeQs3AH4BZuQhd/LOmXVyWy787hk7lHk9l84
UujhNArdklm5N5XkpCIQ6VGGje8C/9m1bLl/s9RJfHKukORF6GtiYzpWKmPxNCe7IBHuHsYrmk3F
vFvWpbCx6S8YOlGkjCAnyoOaN5xJyLYO9L8+9gog1GCZwlkg7VEXnLJsSQi3SutHSy0OTuf+pjhb
vVk0uHLcErERRZcXg+rxSUNrdqVps9ZTdoqpiqCrltUbTf1fIVLlgMVT9Tr3c2437dk2OUU3XYUm
3dOIKK9CB8NlVLGRLkfuKVt57IS2FxIZZLK61I3cY0gITgZjJMaNWPjN7j2OMcKrmzcYvxOIGuKM
LXQwqbVAqcijYxrPAWL0lP6C+qx0hwStpXWAHusAZw7KVvlTE4Pu1Xqzl5l1ZrgD4Y5YsLBFk+7N
c/2gMfaMUry2Y201u4zhwDl10jd++BhV8WGF+mTeZ4u0v0qqPlNy07eQPtB+BFHEyZvVBUQ9WSSQ
lQX27SzyM9m6rM9B/GRmeS7nK0hQJiPrvzIlmCrKYKwjzuQd+JX39vsA0ihyYuOYjPSW8JnCuG9b
qvaSCjB5dsy4CZym+uOU1mPamGYw9Syd2gUhUm7cWiV7moa12blzytoRb/zG58r3jHhKVfmO+ko8
MpHVWntfsi4tFArpgYmwBkPEw/reR9bNUYmVKHN2zSU3x5AMkASzqNsT0U2BiB5KjyZeeFu/ZBYI
/EHA8yiGF610fq9j8Y8VDKRypRpRkBQBUvUTfZTp17NBOndc/W078WLjCvRsgweQpec+SX67JlKE
FO4SgmWHVALAhIdMGCGoRBLxyuaBMfi0WITLFSXaHiNC6JrLIfw3GvrOruBIDEJjW+GMpj86hBTo
TBHZ/TCMcNWOqwbkdLa9rmbb8mNjpAbGE1ggWsB5inz4YxnPff8q4rkLyQdqmbKgVZrxiMNVOepb
cWo6X51BUNnWrhIQVIc2Odu12mHtKr7T1rB3/TwQK3bGc3pLGsIckLj8rcZ6zz7zk8IMidI8B9Pm
PYorDH2ifQJI+BVvswKuo8JbUDQFUdeyeXGxftO3Ivth75OvZejKNGPy37znjBnVaEOydozH43gM
R8NdiOI00SjodXkwp/eoS6Nwzsnay+uZO8itDoVRn2VKWQr/n69XhfQVt4NH0OAlF/O9Vu0xbIZu
8eqx/Vxc1lHwUKRnEKqrIEjvFeaeikHhM4m3liU5K7KPPPnWBxkf5pkrfUq+ln6t/dxGsW7Y0R9e
RGsfpYSPuwWBfw1KF09Z8u+2IT41IY0FrMtD7SgBstuzUqjlTlrjnSuDgw6OR9abWiAa489iJ6ha
yCNAGiSoLCVqj6MybbtncjzLIRm9pAWobyXJx2KaMJa6gaoMqyHqo0FP/o3krK04QFCi2N+V7Vkd
D8JIdoJfmDVaBZ12XnI5BKx9XXjODJHV6o9ZPXVvpfkPMdNrN6sXMTPjkJWF0NiJf7PSm90EHW02
/loGl1JVFvAz2zzdiQ745TTnbDSyyEtc4oMyQ6Cpzc+MoMC2Orw0nfXbTSg1MfMcskUAx4Y7W24D
8aHKtN08AGgdbPmdT3jazSj/IG1GHHb2yidsyQ5ab+x4tdt+Oab62cO72QMuo7xo3DAjgcyvhfgi
iEvbTWJ9X6Fq+5Ipl1KigO1kVlMhab9HOTxESBE1goKOm4k1ZAxE6JyWvEUj8RQonwKF97OPWL+M
i3wbJ9Zo6PX78I7E+aPSItcrLDvftRLtHiw08LKqeWIWn97STLnrEqfw5sZcCfF7/9mH98ryrA3y
VwGy1dMyDNnq2P1j+//Gd41QZfQ3vqCA5t9lmWepdRQCS9J8n2QLw30ga5PEgtzeVS7ju6qxjrWh
6SwFeQCNWi32q6ChZcXbBBy70OdYclG3kv9MrmWNRYrEtCk56nn2VuU8EYnbTEEKgNtTqUz2PZ8P
xSGh4Iv4cH+AsJx+9aS+VF39d+ICD+LYeergtAajO79tR623EECXb8sIi1uR3Y5hD++62SSh5gyP
aub1Tn3X4UgEY1l9KvWIZHga/64dTdeqE9XTctRcSc88r6ut4LQzZdAYIxcrMKWoxu83jbfMib9F
3H0xLbxD7ARrs2mLOwNerFJie2+vqgFysi1wMy+WkCx8s9CWyJLyQeUaqc0vS3uBCcnNbfdPbLRG
vxzne+oA2BTxxXHELqInR4pNe5eT5hjN1asNbETvrWTvDJHfdSnEUhTXFST7QJCpVthrmCvvZVU9
O7VmM3Ve6XsW3v6oPWdgafbSCE2br6CFBwUZ9lLF8Sa2LBL6p+HQxfnZBeWhNoZ+0Jt2RlZGT9m7
rUveZuUjJXhUF6Q1rJ9PKt97QKInVUhIi8ALfUk0AWOb9rXvjC9UYByticvd35EuQGLbKRPsIiKX
cw0KX8AqiNGpoktP9qDBy7S9TKjlhikFfA8FlceeFUynPckcrJVbJtlepQ/RsnQkshaR+BiLe1JJ
5hYRPQT5Ko8V2nvT1IEQuypdhdu+MoDfMvl4rSfx1Q6ALQwJtQD43gtOAaqMDP5fnt3xuUAcI/PZ
UDumiOtLpINiaizS7iXTE6xY15kdsjdF1BdrzaihzeOPdk2gC8v1ljbZW52H7EeL4yj6/crW7dwR
aK9qjNwEPgVqFS5X4bSgMLJgUdbSyyQRf7jEyFgb1ybQ7aI7Y+CsmSlNDw2y/h2icY4/5dQTdsJK
ZnnR+bmotkTMK1uNrNUqvm166NpG+dq17sPqKBQx3IMTHdSSvNLPjYfeNEZPy1kHAUA5u9X4pRmr
2M9OXoFXRhY/UYVytRcqumsS7H1chb/aeEz9TKkYe4PF9kneqvxMG48ATJaTsFSYZeCHFnb3rQsK
J0u+hIG8pdkaq04fHgeNpgvWbOVFq14FZc/WamgutiE/dZschRHz0BQPC+bt9gP21k0UbhwCsKRu
3lHs2QswN3OCYKRkuLMyoITkS0ElKokHUbpfzabsR+PrjwmEfhxkDRGJow/vmZifJdTXcjmt1Ztp
VMDcM77RWA0eRSemfW5PfWBUf3vcPZ6Q5Suw1ud+bhEAOvzFcJL8hiYOQaN9nJb5QAf9Mpj6M+Ct
mIxMCp16GN6Hxd3LtHtIW/wcXAlhNGtviTW9Ty3Rn5R2G/OuObaC/RJIr8BO7DdbL78Tc/1kRk4q
dz7cCohWTpT5nBTlDgtRBC2fQ3ZLxfNblO+WpvkRRZuvzhSycIyjbny3bGu6oopw/XVg7uHYoA7M
+lCXqxHqrjmjjCK2jwiP+4R2mH+/hE6hUqfisHQoIUjAGQPBSe81VAeUZPKdSupINiRFD2hK7lrE
2xnuwH0lF2SS2jeLN46pNEeoZb5LjQxOYcCHy+e7ljLsZFxUXUrDPczuTenYcYkRi6H6lRTVk9gS
a82ZKePUkpW8dIuvsDIMoxo6UVco7wJ308606y+X1BckHdk1cYAJ1YZ5cRmmHMAdCXxMm6tdonV0
3NK3N+aYZV7hRU8wE0dEgqXwhUtORyN4gBqqWDvTvKmnVR0tXrCpNlPmpGKjWuJ/HJASUa6uzaHa
qPHKzPYJjQnQBYKwBueWjTzSECWYMp4ZLSYeEkuEaEhPA7ulUK6hHO+L7dbGOglNA1ai3zgz1fuM
BAL2oi/XHuCAmB7Z3hChzOwOPLK7I1dE9ybQB1kE5Adj4K5SGsLEwF4U38I2c1/tNeIOo8TEkZgS
vm0nI3N9SqetfC4VeiVFsskgP/7kNC57sGJh7mv+wcaiXMteXhf69wN6/VcWNyyW7HAYcsSJkHzn
/pYMFlWg6jelvGFOKZ7yNX1aqsw8GU32PCk36cq7PS41HVB6TvKlDBYi2egZ7CMZeh8z4pajzLuw
7PLrkq88pl2i7tBb2Ge1zqL9YvaKR+wirgLjPdeTak+5uW+qIawmzHfslIt+YzBbtwJhY2jlyesk
cpdzlZmM9WbhCtsXxBKipY99Z6PwRZl8SJF2chg1XxD8gSXwOoo16CKElRb4jTTWJkLcWrScZcuL
npb3MiGl186wsiX2r6wwDmZeLgyCkHstzgqfk4ilUcovEOCE6E1nqGxQsmo2UWp5N9M4fWISxPvn
HCt5ScW4BzTW7SKXgc2YgcVJ+9CZvUw3HWDQzsWQiKsKpz5OEzIblpZhkkzjxSn7vZKV2d7GyYbQ
1PadPuUXWhE/x+jJF7EEKikyDqN+hu9JeVoAOa2jwqpPBE6VtACEMZGNiREo3Y/d+aGJtGoPs4nv
g3pG31OFQmQDc748TPuICnRlHCvJLEyAofFnaCIzsgxq22BOs6mLW/KTdoXGZU/69bWlWt9kMeap
2dYCzTQ+5QmKWZap27a09VLOADI2MEoYBFgQXxcgrgAvLsnzBGPxq0L/45uK+MT04iIal+63bZXG
28B6zcjsoJ0Xa1+MyAfI+LmCJH0E1890p0tVj9eQBAvooEaZ+ZMzqDvXjgmLzsUR8h1BuQbUTodx
g6YqO800WyRH6bHEKxpmbajLoQ72Hb6BcK5aCF7GCJyJHiNXd2WcnZQhfSxWN+V2zLZ9JT8wR/CN
xg6m3ermtzpbfwsDZ3bGiFSJzOLM54S20tKrg2CCT5OPIcVhECDVQ6830xnlyb5yqz8tFuCj7Iww
NrWfCeYfnBP3gQpv13O1+ioFtqWMvxs7WKdtt97ZPbJmqYWTq6AdlhTIGjMSb4FkrvS43LddZrt0
X11ZIwZ10ZYYLdWJURbhkEJr1ZYvR6fpSvFGQcPqBrYJy6fVAOuqiGJkgJeforFBaGKpALEYqAw4
O2qG4AB9gehkK3vGrKY8s4BKnEsqTXzOSIATJai1gQ7MZQKLmNCAcaXtsOvHnts3SAc1ON1Kve7W
npuhGVrsSn0xsTYTxKva/GUGJZWO3lRX69/8bSa4ohrICs2sPKhuj0NnmekW+ds8zUiveFuKBk2j
nut/lbit/T46VRw6PGvrXjUea6Z9zJfGNEBDQZj2mLyOnfhO8vYRAYYqM0TyytTd1gRLNqeCMiMw
deW5BV+ak9IzmWaY9Kw1REJivT0PV7XXP5uJh0flj5HNedGi8bIoegeJVYXAKCjF8qH70GrHCDs3
vTJSttFNjQt3OspG+aJR6/nI+RP4lO1dZ92wj0zSeDBmvuDO+5cZRFuY+KbohfX9ojNcZ5iK+3Ce
nYcMcLHL+P+A4+FTQTqGnMjRs1vOGITMMa0NSWfNb7HGylbmyaOmxBZpNBXWlm5zja6mIzxXMFXJ
+y55qGCRN3kMUBNkI7uCvHqaJ7wiw6R+TTSaDI+SE2qTBiZShIDXbJ/myHGonvKn2iRlauMHNRE5
AVwwy8totiC62CneWNWeuGLbgxIpeErQCS3acC5IkDi5lcIGKYZ0g0NvcGMa1tKC0ZH9K3M7PVru
KreOMj8YFvKCapjudD0dsoCZpCZTS3+1+Tx462zKBzEbA0xj4xcBfmpVXHiWi6OTd3/QBcbHxZIX
K3KVR3YYX42QWGq2303QnBZLd89AbtVrn7rxbmKyHbFYOQzRfGnljGjSapBmdYxxEgS3IRMQFIp5
toTTqlSnoa57HSVnXByQxLs7thiLr20ZLsb24edXk6bGp26Krv/7551ilvtSuMUhu9Jl9c+twOKz
ouAHUxD7GiKcOwGsEjGj3G9Zh+hg9HjPPLn3ksQFSD90yb51qR5QoWNRxWcflJo+PiIodLC+8udw
HrFxybPfvWvpISW/FioMST3sNg4uxTQ6qAM1N3iaIxiIgPe5/EL1v4HoOi9XKvGykPp1jIyt/+5t
60Wv3F8dfCbqH319MwoWBqqWpzezata3itNtTsvhns62eNWBbG1SPtab6ZMB6+DnP6kdDVD14g7M
ZQGqJNAJ9MaCEmqhQtS6ynj9/37LtXdTWvutG/XpqeyORqxVd2v7gKAD5h1GLnJAAtKtzFukOvXZ
WOb9FEtkapp7HhUR38ZysG+TYUAagLZEFpqAWuWax1xXX8p8NYSXlEDukgotPrEsV3cgiabVrLO2
RtaZN55vrOTcTQvbPv/vg5xy5zxlZOQSQUu0RMxJYTjmcMSUZ96rfBQ3zRYHty11H87nfCBtr3ht
cLfnkTTuclaLV3AkNzOfjQeXYIKb0Ke3duEHL9RRg9WvyLsFx+SpgnC5rPJONlrhm6Xsd4At7KsC
HHvPijXsJ+feWGVEvFwW/dV4e0FpEj8PnOWYrzlxgq1T7FZhD6GwHABEm5TJRjcSDlQnBwIs2s8m
4yJ0uvIdg9mpnlxrD6MLPXKSap8pZnGvrkg1qciI8RYX4G8c9eyu0v6pMJw/P6AQBHo7bL6vxMZh
VAVSYGMkZvS/uEguc92qDm2igZcf4G/8fBh4iP771c9vNVYAXpo2B41h2EGZXRcpFEpkt5xe3SWJ
r9BFoSQgfQhGs7eQ76mQc0WsIqYR85vedima6LE9wlMKk7EZz6Vhtdf/fbAjHmqo1ny91REmlYZG
5P8+xJs8dXbVa4du+Fj9WORRxva0RtAMhGkkBLSwUzKjomfFOwwXNEvhiLTklqfj9uU2ZxGzcvTU
GiOR5aIYRxpVJBdR9gcs6fHBNFrrpPSJ5oQ/v5zSyi/x0/q9CzBC+wnzi4FHXi0YF33TPy0F8ruq
WcrTT7qyIqIvGDzNXts4gs5GFMyUD72BnBC60xy9crErHu/y8ETDho4l21A7SKqai7Wcl6iqAlVh
OKtKneheq8ofbIPZ2crOQeO2+dkktOlwKnEr79SiuSCsH/+R6Hm1S1M81SqZJjpEe0Y6KjyVxUee
7oSlXEl3sW42/qE3vrgRSwYkOItZbpmZ71o+qnhWyToi0wfdccvk1Knc33JO0rOFbZzlwsKqMNJ3
E3nYR4jzA2VDQhtTNvXmYiHQKEduJzXzoWngceollXiJrc+3qxL93fZ9+PkQq0hwxlbuelOl/NjM
wpMurijq9aO5ecDjiBktIFOg2tra+wV+lV0+fP53WBS4B1aZc8FnxRsbGOYEG+qmRVEQqCvQ45+f
vLr2ozcRTsGP0EDgj5WoPbO76vqD3mkkWZEzgteofGTRaMJDixoqItEGuTTwiOfVlbz0JHRkIs8q
vht/3iauPetZpCYuuGnyHTUd1+uaVTLIdBWLcD7eEZAniMys+I5i7ihlzAXuruW1ThSNrEI7BU62
X2YI2V7c7RtxE53WPf33Ya6bh9SGawi2AAlA+zgzA3nMulVlnp26+35dP0UjjMNgRdVep/RjUmY/
lr2NpFcdZxTDpHcTfVxzkslj1hjFGz+o5BTrSrLDE1AeilY7zQYAz8AsgXfGabt6hMMRpVpDHTcX
8zNvZgaEwpjZO4mXTsTTa2N3WSBW6sotnklLyZjPuVLNypr2IAVqcidYG7FZSAeFTPKcce88lWhe
ivLDkIYIIEwXR2vI3lJjBQGx6M+dNqe3goco3oiqa2E+Zoxrj7HGdsfJ5/zdpMYKlYXoN2RyPiG+
xdlYnYJG1MHWW84CpTm/dVqnPazzcDCl4dfAVo7EiAyY9bdTu8YjM1YTJqpFD3Lbth7r1mQmPPeQ
nOu225PTvNwKRJ43TCR8LqP6Fy7QGmJDQOhCixCwMi8voGvRJdkA9n4YN3nhxI+M9XCUMujar9Zi
vXSpFADesW2VS5lfWqV0911qUyqV8myCrwp5HVlqwSy+5c4b5sX5WqkWebwzMtEyV7QLb2HvJm+D
WitXCtHpxVAAv7XN07TA1GdgRG0iEgtTzzLnBzn2mv/z2GvFCvjXGX7/JKWbhKuMFL8Wg+kG0cVj
3OGV0xFCck4k2OTKjEa3zq7tBnjAh6qf/zt8cvALI1r2O4PDF4aujBKjuUeNk9QPpobqvDZUDwXY
8ksg+dANtwi7rZWQgE1Z+WvpiUezIGUC3Dn7mPmYlLn6WCnDX61AltXEhnbpiDamYuysZ73NrwnO
a4RZzadqYl21Wwu3hyvzE9iA6nHNEljhKGxQ+mM0sLTh224MtFh8lcSBVuV1hBhx6ErjPhElhZir
wi9UT9E5AT5LvOKPDZlB3gSgVECXpYe0KOMrFxOtSMM5xfpfozHxsJDpwc8PNnKmu6HO+ODbcj3D
YzT2mCchrWq2EXJgRxiIXFrgZFQuibFU2+HAGBRm+0WaVGCZiJBM9M2fXueSj2kCfk6okbNwRwX8
rcMSDpKMVBVztfEaDE501JJK8XEcrRTFMwaIpceInaSfpOfMz3XMAJvizz7a9Ce+OhG4/POBDJ1t
JcwJnd0nREkPTu/ScHH0Ka5R4BQH1qsVhXqSBRPyBlSVTABXaIwEfw7/JVlz3+p5D4iOHhFrjCQ5
bx8kbGgswWSgoOSnTM61lD19p1j7xJw/0HBgDusSzhDXgo6UDGiZHV2DTpy64SLkepm3D3Jw+tPA
qNOKoDPQR9vLKdtGermR3QSzO6FQE8Vshh646AkJU0V3arLyowDEdsVdUp0qtD5ebwiVlzQhhsRu
Jy5ZFBQWbr990ffrbam3MnqOH4H9uPs61sz/ep8erNZrBfxiMzW+ATewrpMm+qdqPXRkX/2XOiqT
/mSNQxtWWvEQLdFwtAzYVlXSyZs6Z+iJOYr2w+A4ewXdq+pt02PGYaxiiEINQCIvIH2BaaIHuCMB
V3zSY+AzGejQu6oS+6oVXgGIEyF8NlxcKWZ6seK55OAJMDTNbxQ07a7o1oTplIClMy0XzC7Kvol6
a4cBxL5PDgcEScf09FZKsymSQAg93euFCOC4HsxuSu4VmGG0fLTgme2vbdpd+o7QIWOjX/z3mct0
/iW3ExD57uNq6dSYCw0O6IgE0M5W4inIg9sMk1vVNTJQt1dGw8hxKLbfGsWU7BclbX2kJrA1U+jo
icyDrq0ysBeomjWrH6n46kOR9xHazYGhYKrqyDTidS8aRN84n/MLa8/sGLfVe20yqJSJY5yyUmQX
/h9pf9vGvMGAjgiBGSRmoPLNwSl3wC1IBOwIBsdZUM43W7JlBsGLvAyCHz/ndbQfrJr5hcqkMsao
9/Dzztl6o5H7TO5PNJvVKVH11y7TT7Mi1fcZQRWJxuYzJtrugXi/my4EmC+qUo9PTT6KoiyCtq03
FS9ekRIFslbGv8p1geHkFuvBUVveVF5YBoIZvNPtV31ykeJr8wKtIk4fcH2JR42y9FHkqPra6iyL
SEPm83//GHkcYCarBitU0sZLK8zyrjyNxZSTCmTVRDQqexKJjZsYWIzRKRiHbHKNR61vdwvNGXjy
Zd+3WXPJNjAgFoT/x9yZLMeNbNn2X2pcuAUHHHBg8gbR9xHsRFETmBoKfd/j699CqOqmUpmWsmdv
UpMwBjMpBiMA9+Pn7L22d1RVuyNqgZIHtsUq66oYhqAfnzU0gixnq8kc7Wc975wjph97SdgeZ/tO
rdjr1qmb2Q8OXelt22AW+BFUMobeabTaErZt1d2cKE/3DrX8QnR+d7s/lMI8kx/+rifTg0wVM2+K
S1cMt2QOwybjHg6VhdLGHYtjaDfHPLKyYxW17oNFBvp9M+insiTcdb7L2lx+hG1G8AWXg2iIKC4t
xYfhGyQbQqfZQs+MCUOzrNUAAApd85w9VbVLp+ito9Emc9Ywd/WE9+mYF4KRuVtT/E14BCCVZY9R
PmlvdD+ZWVi2v7WzKVp6KWaqsopmJ1Xlz5Eq/sU2hX9pfDkeqrjaM3TVV3lRQXeJeqiZoTkg1jAi
7YE7j1oi9h5dgURPtGh9czWVDAzxTEelmFaa72prrQvjR1M+JwDjUHjb7IfQghqmpFsjd2imFGVM
CR1LQUgaI59IsFdXNJ3GKMi9TUC68kaxaC+C+ZrGAwu4AQTG2qbsqPyqPkzhkJyG+cFuYdJ7+cCW
E8bHQuXlxi0mzN3oMJ5HqobWIvnLHpx6U/Stu8N282DXBKa1BidAifT6UOM9XYTzbzJnEV6pyk8Z
oLmjZZKdE+I2X5ZGSnBS1wGyQTy1RTKEMldX+NhpNW0UCCCkr2Zy621J6GNiEbPujpvKq5ObK+zL
HQQVd3MyXXfP8UC0lZPItW1iZgJ2UsNYq7IPZVv2/t6yCgddRZcTpQ5uGpGYT3T71C81zk6Lom26
TUHnNMuN9JKmVveA7anYzmgYpEPG2QutB1o89ZM50csIo+Sd0rd/i/Em9Rr4/MJ12VmL8aiJkbOX
kZQH0bvfo9GsTg1ZyDgumFsx3532JBvjIKlEsBKjU96A8yuiHUz4SHYA7GL0TTrvGvkHWXrNPMtZ
aZEBsKtynMX9pbc0tGlTJsHq/hSDDStaFtDnbZBWIECKAWlzMGxtbE28pjOeY9rtBPXmvSWPMSlV
+KdNpLC2hnbaM4FRkrByYdkF/VC2PgJlbLbRoNW3roEoZvo4PYrG/WBKyoqG095KTA7qhFlRvzSN
iqivVtgny/RCGPTpk13mu9hzw9uUCf/Z7IklnGqCF0WCZDAXU3XUg6bcwKRnHu/Yq3tmCipSwBQI
NCEla58ju9bWKaF0t14F2/uCqjXFJhZ2TwPiofB9/WgTtHrSAvuM1H3up85/ZYjpxGJPWWkCYcjU
mvXzna5UJqTxDfICKUme0ILBmVDSP0sjZLbvMi1GldqU403asXmNnTfP0qheqn6pSM/ZJWF7ESKl
Y9XwOzAQMnTh9EJLxTQPJAMUaWSDjtRbTBYPetsxBZ27WpxaFnRMtItomye38GIWTOtjTZ7VHkzz
Iedf7BiU7znXeqRzzActI6uIJgsRpU6uv62cZNZsumm/E8wtKawcNjXWaZrJ4BrN6dM4gdW4Y6Ba
w70VcMmPRDQFBzuhVPcJpTH85L0kSc23InTScDnrtZXEHQPb3L0aXhid3ZAM+PnoWxkdYAYiY2sX
VQ7C+HxFqlh4uHPbbFO9lVPFpBA39rouneZUxPWHAAPkJZof7Nq+DgTmHUp4Iqbfb4ndtq7cAD2I
obmRiY+PXMHapuVY2t9qIwe3EPfB0/ilxc6xSTL+T01vp6Ow27Xq2GMKOJxjI7QPpUmPDOaTzxxU
fPAaIqSAJIWvS5N+87GsDAKaEB1s0gh01t2KnI1ZcG5Z15Lss4Lu8SMVoRahc/3jaVoSUCRBM/0g
n8V6524Lxrg4eRJvG9jLrG2KF2GgvbU0bVy3QFr4QGW9lNCCt4bL5lvHyJLvmfbkQZKXXUe4XgmD
1/3poAURqrDkaVasXjD4h7f7QzxSENhxYR7xJGsviIMWqX7TGhV8cSO84Xj+3o0Yb2KnxaQ2EBSy
kXIb9D79IxhXUASw/a28DG+mTYLgOtc6j8+loOE+kQtw8N7LPu8OVdk0H5lQc686H1WN8bRIvPTJ
Bd5u6wHn8CqbNl7sSpTfZbWz9K56SMinUWI+p4z6W66bfF5u+OikDPlV3T3HcbfLJq25VSWSAMJQ
60PrlD77jjWS/IBuB6g8i7bdegdE4ZhxFFRDU6s+VkQM7j30VdeQw/EySVzoaYOcjnHofadThWZ8
ThEPWDRZjNGfiS5w0A612UUbDlavl2BZyI3WtITZENWwttCkcZIaTI9U2J8zVU6PxCBcwKzKq0DZ
L2SMlX9+lmCQNUVCGC50go9T9kgLVb1llk4zlSSMjTnU6q2lNwR70nqhn4ZNVb6CwevW+ajMpzSC
aqgxPj9CMQADy8yzDZM3UxvLfYWJZ5WxvmdQfp40fFBkU/NVGDEovH/V0/LDn9uvZYNMObJC4+H+
IMMKxaBCxTR/qx2c5DLPZSvbYUhZNkeKxfSRvGz9FrJjt1EN0JQdnGq5GgEOdDo6sflhcgEM0Itu
ltQUDz2RAxsZM/+HY5cj0cGS76AZOCExUotIgmiw+8Ddp8EkcNJwImh6k/mv1p9zZziJCUGnNCiH
hnbP4TQ6yrmaKHuOPW4VP9sQj95gkLziM9YoBkBUhCJpzvFI9d0zn98lsHw3VomC3YSSghVCvZdY
bG4dpXThf6P1GD7cHxjbyl0wvyA1x+no3weF5TPU/O7BMvEkBnTsH1Atc7qcq7J4gK+Si2Fxj5yM
0cLSY6/ja4mZYMW59mtPju5zp7Vr1HIQthPPhR5m2xu8jTcL5ZlKuhZRc76adPd9IG7ldA+IWcmW
YgrBqvNoN7yJBFKQXjHfJHlcPnC88r90HfVYBQcKfUK9VVaRvpQRk3sUBwIZdYioEFyFPjXrYdAw
LdTKEfQZJQSYyeI69cEXNCPyj6QDN9ihHFxDXrVOQ4H+PFblxxh329IM3ivUzMeKCsGqq4dMx/97
r4O7vL64qEMyOIeuRLxV2GyUHLh05zO2ZWS7CtUpvTdv3Q16dCwHN0JNrxAa96zSXZEeqTmOjIQ2
MGLdH/lDYgry3X3jqEMkLh6V9zoh4bCbo2GknjVgwFzGHRQXsabVj/Wkj+z96PQm6SI8x1h+wIJl
8Pvf9RJQSD+41bOFWhKySXo0RKoBHF/bpd8vEh09wDjm4llhTlpHTS0296edkcFQq8QTGC54iA7T
dCsYnC9l0V1Ds8s/9HVRbWvNQYZdNdFz4IyfzVpYlzq20gX+M3lJR9xNGZqaXT4h2Vu1+TBHAOln
ZsE4Q+a+aJnX9cMMkuHcyPc0y68fBsNODrCJAJOFiv/Fb7Rdl/Jxplp7MghFASxILzRNGuuzHo1f
qE/LR9L7Aneqryx3xQ6AZ4qUuKivtWKB0aaQ+HeD3jiNKBzLYWS+yJoDGTBkXIgjned+cj5EGsFK
k51+raFm+dLYgATSH6nbxSNiCmT+Ospr6TJRUDAGHqp8lkGWbvxZ5O22KykadZPpg1MRgN1Jhelo
fltTNRw7B8iQiYQOOWxrbAqz/IItBGdg7u9ZepxDwJh35U+qe9Lp21SYeF8Z4iJgEVjk/ToyjrRY
CITAjXsbineHEdgSTkj/ShEAm1qpUm6dgQ84zPN20xp5eAZwFJ4dL2dS+sdzs42eKpoWu/u3/vj+
/as8aJipaGCV3NTrN8BsLNxN+nT540HVgLaV7X2LNL/Z3b8f2N3AkEC860YTa7uRJvRxQL18HO3a
2HutFI+OmXcv7efKQCGIgwCnZtWMN95ppnWOnixY1aqrl4FMchsyiDrwSCs/IKP8HglfNfUO09fu
z+mU95ikjkEodYYAPpa7T3mElMcgnc/EV+HrrXwxIjb4sK93tgD9dT+vIsmX+3ZQm5y5Lbcbqrna
pWV4b0qUOtyPEU/MY2lqzUPsbcUH+NTt12IU3dKI6CYIO0+OSCm4HGy4kB0Nu/tDrw9wNhDY8oa/
0BbYu3nrntX8oHV6oa+G2vjOdSnJFjByffXjv+CQ3ta9jhH83/83uK8JXMBEGdLVxY00q280PIz9
/dn9oQQZvWM7LNhpclFgh0LLVdnD0RZVvpImrssO5y/ygco80DZ/qGNPXu/fuj8keSC4+cHt/PIf
lNe8CLu8VgXobacJSAifTB/iSvLqTGV76PROrnl3Jwot43sfjeUb7iW6/8Rc7UsrTd/GVTLPL3Np
i72qihvFKp1hZcjH2uw4fU9CfkAxwxWm6cVLqLLHqXI2eVuMn3rbrddYtRlsw+vbw6bbjDh6n6Y+
Z48mmGxzr66jjFikYZmHvnlokhK9Y5MQ+jVWnsApypJOr+qbdAJOYEbW7PwRmQQcue9wrGbjHdm5
i8KsXvU5mM0HnlWL/AkiC3E+Bc9AjjL0BtTECH3CMraIKnmLI39Z6ub3wX6l9c/R1FDRNmlwAVJf
Ik2WkYlgvosOpoF0WtOrg5rdx4y0XHSEybymolFVtBGq4I1jhY4l36IdLFuFKsBECeKtUnhoGEGn
aqNFX0wmwTszdADdMRlHtLIKFCRVO8J97lJuOmjmGG5j6CiAKYJmyY+6Wd+8vkHSVAdzmjTa6obN
Iu+9mRiIJNjSzMVYusOCIbK5RC0Zw1mY7Wl06ZC9Nw+2VzIMn38wA/lJiyImu9P5ms3dT9kiymfE
v2xFBbeDg+G6rKnZgoAzcu9/G+h/W9SZS/zBTGmAFFddVl5wXME0pr3nudfR1CKAmI6z1+14H0qQ
JQxAi0NimVsHpsrSqUoQJcOJHmZ3TTGv5ZEsF2UxNRhTSfeLiXteTxZH6xY5mitqgJgYXuyIAoqd
7LPv0bYhBadBCjFbP+X45iF/W2S6KM5jgVTZl023a7AjJz22UBqQh6GW6cPUsFyEzHMLSStstsC7
Mtp3Xnqq2+xU+nW/bKjTF5NpQsEI2SPpv61G0mw8YhyoqQHs5v6t1Uz3pJPaUDgtQJWOU35Y4NSm
mqFjSfhq2GLjDRSy8zbfR0Lf5gNpEtKptU1u6WB9wqFkwcfUZUGjXzZp+UnXAUgkHdlRvlF4a08S
LDDS2tTEJVRxsQx8NKw2KunBNuUnTe+WnltHy3qKgAeLep+i5NjlIQ7NzrwFzG5fnMDGd0Fgtqkh
XTcVosU5KxGtMM3vmSg6edosvWJH4xC00ePe3ZedcaUHk2wZRi40kPx7Lw/DfVdqq4ozzcohZwCj
F/i1KQECMnrOW1Cly0YSHNlPUu3CYhUE7x6+8UcCyxZ9W4T7qYUVIB3+5AZ74CFr8Cj4Eflos+wb
r4zVYJ8CQrvqMhWfeoiMld/QLsV0VI4tuBdfDYBbGT+PiyofKtQT8SN0AyZXafcNjN0nIBwjCEWz
2RTlcB0KTHIYRJOZYylQZq1GNbw5MoCMGCtnVjkfHCt+QbAn1xDPWIs6CtfeeucQtTYM65uNJmLl
2hMlzbCRUyw2Zlc385A0XtkcghdGW0isZOlGNzvv4JWIJhOAcUz6wC2CIGTUN1HEmSk55IyOM9N/
w6FKqzF/J3RGblRvtFcTHamS0BKnonnHcW59KFgoc9fcTpP3GqWYRauRQaWFEfMwhMabprDR5bZ1
80ORYprDgK0F8j1Uinc60D65NEo32dDuVNA9FFCFKYuTTVzhszgI5cZXlxNSMbknwbH/kxk026iJ
1JrQVwK0OauNsnyvne7di5lCqhFvTOeTiVGM5Ra0wOdAZV8GK5lBIDMYibDqZYCa65zPt4Kjm2Jt
wZNF9NJVe2DArxPbckfIxLpVzwX9A8KzIPD7BqgFKPYbI8jlKZzz7UU1AFAhlocNgKXKKCDbmPC+
SnTa9ogjQu+SZFHnZEb0kiSDblnbxRfyby6haRc3yOr0jCMAR3Q1AEVW8bd6BvvYzBHp4opyJSqF
BNvaN7rWHtrevo6ZPBUCGTwzoptjwCmX7hTuG8MOZ3n37FceP3ZAQVEadOeWZKdFHCH91rv0kZgg
PO9e8akr0WGMJSZQb+rKVWAY66nK5AH6IaLn6EimO5nkJju2ym5u24TrwiYlvBTfNVo/66wvdnGf
aIdqdEgB49ajqTOR8G5aPZ2dirIjJx8VgZXDQCf9rgF/BP3lHsvGCdGk669cSa9lCLcQ7dzGseGg
yFoobrU+286DjroW1YoMZIc2GYo0zYIn0qbfYK7BKgyXxKJjphYGuN0PdQFQNknbp7jU3EPjXcsK
pzU+kWKJqhQVksUEw41BDg69uiYlRJrR79HAse5szJtWs3fQY/IfKxetpMFAnnrP2Ju1luwxGeLi
D6qTnmTuhRSdcE0+HdqLx9YnAQKy+nkyuNdENUZnbdC+D0lzLXCfbQud+IixF9+LLHul84Iuyou/
F233klXTx2oyLmaAlx2LTiGRP1MRzqRTE+6NyyE7hmRclW9DA5qm1fuP5Wirg6jxpvV8H2MtXNuE
inES3DtBPh4e3ClnEN/o2S5V3B+q2TFhX6s+FEdurSeAPpwykppD1oihAEIc4vltNGr9IUIS5kSZ
vQc/fbJVz8wh7Q7oFOCCe+EhdQcSKnycJo1WZoc2DNtNmnEtxbhRh5Fzhleml7i3NxgZvk2+fmu6
4ioIsD47dXwoK39nh5l4dWZ5CDKdBLl0+Ml1Q15UqK0i/ttT7/kZTSuWdTRzBi3cRa6F0WYwPf1i
jC+jGBGXBidL6YgTc9Zgw8SiZEj0IvDTNf0RHx7eddzQuyHMvrhwfCKtVWurSZe6Th49ptdm6xhU
HqXW60tv9NGXNda6xd18lgXn9wwclF0ZyEWQjHR5+k6LsLt0DdpWSYYCDaylO9vxEVmu4LM+TDbx
F5OKHjpMYIQNTs2XrCBEIrXlpk71bZH4nzy9+HZPgpzAItB6hwshokumy3jHQGFBOKCmtTR4NT9Z
G/gvyB3uHzrN+AClLnLyL0ZUfAqH7msxWChrsORsaNb2iJnHc1+BiFVJ8R1H3neSFx9wQ+FEYCaw
cwYqwq5xGe+7YXEQQ1UcqJkYIZ9L/C+LwoXwY1bkCyBEtEh3TK3nYjBeBXRhrNxZtaK7TAoyXamY
eEQSQx8R1+KgjrNdHAImDTrnIUoQRbu5C5IJGMXacAhYTiwUZBbxz00x7NOO7qwS5MN4FIKPlWR2
IHR4lsMqjrCVM7p6CAU4hJb26dKy/GNT1XLfa93WrtXSrpzpVKUx6qrKta9WQfd2ugaIZL91vfaA
AXzdE0fz0rByVTOA0rCfuazrS4nMfkqg/Nqds+m/N75o1oYE6tCgIslRCjedW+wLA7OKHIJTVOc8
lP5WYY+d8GudXYqrRRN35FsU9qayUgCNmv7Z8QtxLVJPv4LvbhzN37kwJA8iizeoqSh9xulDMEEY
rWT8CcuP9iRF3ex9xC6LwbNfG8Z2q9gTjzQQbMRoVrJDaWLtxtoBp0AkjuIu2TGohW5cQCbxzKG/
prha07QxDxyX/zPoGQzJeEaoNNkGrGW/L/GiRj6pPqNOFwzGXIipXaMhYvUI1YmJSf3igtXPfLbz
4tgpaFiDuULdY5jIeQdxHbIg2mWh2nOW3uSJy3CFUSbp6aQo5NOjHXsc5CU9x3Hzm/ysv8Sc2YaF
0lra0jFcYZpzutZPIWxyQG/I7JmrKai+0YVkyG2FDUZeH8PIKA5jYd28TGS3qgowTce5f2Va8F0v
vf7aglNMcNdDsabdvfUq97HgCHdGFv2Jn7W37ThWZ8CmX/Ipq89igI3INgeUCb/7InckwbKAkIZ/
Z+IhATewmyVwqMsheBpYKLBotycpNXq//ckMQiqXChoLg3JrkNi7vWfsQ+XbRK2xREbFtGUA7tJz
1Nk4GH826EV1k66XsquHjjCIa5WmTyGdw4U9hMUlqLNvdOQIuxrEwbcYmf3z+2v8JZ3MMS1d2ZYw
MXTaDJH//P4Cu+H0NjZMpX12PmLnyRvwE++htTbYI7kYahVurFRfp7EcH4XZfBrG8NUSwZmNU9vU
BVxA+ocnzA8CuAxrYWbQG0+1HQEm+uuEEwk3dfGbl80FwOvK7zmgc0AkKjvX0W3HUMo2dV3RCPzz
665qG3hR0gIPvI98ar2JLzjWUdC5o31CaZY+srx+xgyb7SZqxB+qHog/EM40SfYR/j9G71ZPJ7Ea
N9pY2YfecetDNXRr9FTxszTiZ98d042P8pmxW7thH2pRbKb6IyZN/bHFmqbVUPQm7ObkcMB20EsH
zGTyodOt7tRmEXHGTm1Ar7CCldUANcVuBc5SEsiQ5wASPCc8IVlPj34+DasSHwilnrluvTK/Na2o
n3gDJOgxMiy0AlRZHRVM8wU91kTPwmMIuXGJAtDC/NmHbDoDN0oThazr8OZ2NWAxKHi4t4hvdfh0
LbhyJUZ6TovNsctgK8WhmEfUkENzt+Wqhgk8GbF78LE0wswFysu/YeDUMrRtlJv1ebLzYCuD0V8G
iWw2OALKg1VopAjMD/engOA/RCgxN398KwmyYEP37wO0CSZ7TUwjkG2ORK35p+4/f/9RFdgkMZB8
I70puNrzQ0l0LHVne5qqAhNJzuFaABpfOWPGgJZBGauY8bXsa+eGZWFRzu3Qyu+dJ/pbxJMIcO0G
57e4a0Yw7zwkNeSM1vJxFNnR5d68K4Q57kWHGManFbMetCzhENESphIa9EVy3MX3B1vYLyiq5Ra3
V7TGj5TDiinVzq21r3XUpTipYZWQhZgT7MVTGYfXkYGSU+vDYUrTx7axyh3dZjrB2mVqSPaaTOPc
uYhZYaB9FFSz+zEwYc6LIiKTgaCAoR7tB6MqEJ84ZFUAzvBO94esTMBsqBowqwzItNdzqnq9IfuG
SvGh6gvzJQQJ6WrR9DRlmYEkcjLIJ693IvDVJ981epxnQFxMn5QhY2BY1pT90g7J3iG0PGdKi0dh
5LNwJ3kzinPsuM61MXJ5q8eLiqW2sdrGPTgDkoi+akDvmvZAU8AyD+TpwKkvqvF0G7gqT7isK3Ta
lg8Boa6aDUMcr11MKpSnhpOlNo97Maslh7uSlHKBHtJ0HDQ/uxCJVjIArd7BphJxqdIGV0mxNMpe
HAby7Zn+jNoj/R4Gu/Rzl65vRrTaCYTISjEs4/k+aea7I1u7vp3syCLMX7siixcEuz+aVVo8SsCI
kD4mwiBmFAIzMfdkYeFY96BYyQQrYfuTkgYaWP/oCNAdsjMwmEHiviU+foc8y9UqsOdTWJjAG6wV
UrwprZdKDdXBwDBMEDnLUQ0ft3KwgkcoRBgoh4fR8b/ViIvR14ynaZJokaHtG0ZJ1Ied7xsnqvaG
W3C4oH+308awvoRejRs2RwvnlS4zn/l7EesNCWyYZ6ra4bDFIQANq1OWfK6aeVSaeyEqL+bVFsEJ
FchXz4oHxvFnyh558qSFADfJ3lASWEfl9T68pgpLY1yn60pi6hw5PXtwEE5mITlg6Vm9DskR2w5p
hoREE+/oQcaPwQx8d/NUQkfsGUFBOa6tAbM0evYUMRhKVccNvuM7NnZMXot9Cgdz1bPcLOtRg0ra
68UtMid/h+n3qBK3vpphZVFuF/FLG3CLaM0hl2lyQh4Zbbra0S+aolHjVG5yMBU6ZJn3ZxMf+0qi
VqTujGDzjIfYiaK3dkZQj3GrCGIQ9GVQbGCoR41ieO2Xu5OJHNBpEWmvBCYMULYOzoisCQKu1X5A
r3ykZeju3HRQ21BvvndBlz6EyVBeMqGrRWOa7QUNplyPjRmerD4ed53RveUdvZuux+48qGGVYi0d
Pbt+rbOPoUR07Juckqo+yamwYHgm3aWx2nk+pOVbDCfd1bHdgxeIc0gIzNXzpLYfM6ciEiVY6J6J
qhbu14VqkJnixLlJ9JmGg6/qNmnezm/oPGw1sdZpxEEwwbC/FdCRTlEP96rx/f5QzQ+SHuCy7Qxr
DY+FHVSVYse4MH2e4IvvFEcm0o0odk0PuFRiQEkC7rkPSfhYaTQ8vmjdDkhQdqTbVG5Ty5uW/oje
iikFWvE0PUvehVfiyUGyet5wYNRs/AiC/a8fyda3Hxv/L4nfvzz9P89/m9rNv/D1fyLD/z8zwudX
8+9/639HALhLWURQ+o+36S8B4Nv3Kv2cjT8ngM8/8CMBXFj/0k3XUa5yHYdcVAq/HwHg1r9QqtrI
cxWVlRSWzo/8T/43PwNqgP9f0CO0HMv9j3/nf6t/GcpSjjIt0xL8vPX/kv9tzGXnT+UdQ2UiIDBG
87oUv8fkNfxc9k/KS5HPo0lsKTJcj5wC6EOKsFw6I0xo2IkwpNWrBHXSGSLQtI0SR5JtjxTfF0TU
pOamjIya9SghmqP0wp0ENHgSmijpdxXG+v5UEVO/bav+248oPdwWq6a3G/J3zf1Pb/x/X58/h4bf
zym//EGKSolMdYjC9K9/qVdVX8dMGVFJZoX6rE3SO7KrekercFeO2350DCz806hiFH0arD700ie6
y/3Jm/DldyrqQGGEjIK5eSmyEcXm4xUtOpK/DNhXAsqjEFa4aqZOLY08wNnvV87JlrpzKr+mxY6E
pHwDebU/p2FeLj0j3QZdNt3++c9Uvxwn+NxMw8CQYxiYLOYI9z9/bsxrGwnfF0v9LKUoi1Kr0Auk
3yqENFsSRKBgg4qo/Fo7hqkpt1aJ7es+GG09VV3py59M8kzOzcD6UbjjJZR68OS3KYC46eoUhti1
qTbcIpVWqx8OjmDIUvoQqHctz3OXZVntWwfOvM6a+aWwtpnc24bnX7vU0nZ0KqyjO5KiAgTxveh8
8dZQ2q/MosNdilLTsrPswo7KuWPJup2jitdwFkJ/WXdG0x2RWB+LvorRoZJfIVtpHwcEiOyfQMzq
DhkIalDSUOanZKziPPcS6xKEmYOVDEHR7H4xqHr3sWm/ttj2jYXReOae2/HCXj4tNSaANJ4kbhdS
iX48hKLe/vMHZfz5XK3uH5QtLdN0DWW7uvnLB4WqpagLGw7IYDbp5i68S4qEXx924Bo1mmSITiAw
GOfKpnsAQgsCrMb+FVNg74Jx+JyO7Htct7NDqvU3BJ7qjzpzgnNX22ct0qBbztdAqGnu0k/ycJ8Z
bQhqF/GlE9biqGITwCtg79Vv/rQ59PvPt5rJdS2ZJtqWNO37kfenlkHRF/3UYX1bJrpZ4Y0E08JI
Kb30oUJrN7tvKcvUdsBw6mGnGUllTZk6icAkLKGmtiyQ7YMSCmEt5i6B2QY3C2fRj3e3ud5bJu1E
eqCuNv7mWCv+5qUrg3O4ofPR2M499P2nl97peVKWSK+WBWgirRxsVJJR8qHPczidvXMsgPcQGCPw
e4yFf7TgEzNIjJe/eQetv76DSI0tTtVSF6alfll966EfmhYcBQxSHN4NaqKFHIlepL55Ia0pO3kz
HTWYv8LbVG7rrHgNQs4iMHueXAtWa0fQsQO99P7VYAXej698myAhjHpg8bS2OgGPwF1i8/m0dT9t
06ypfven/N07Km2b692yXZeY5T8vSHVmqxFzRbxstWJkaBF3R2Lv6iQUh/uTdr6p719NnMh3VV6P
u7tD+48HRlWcgyL8rWUYOj8G90kFwLivjpnkWJ7V8W/W0b+7ELjj2feEkrxua759f7oQUImbzhiD
2kM8Q4YwGjDCf+JVFw3x2scNs0r86BvSbvR1nia3tvyua/Fv9iwxrwG/3EhUB8a8kHMNyF8X82HS
WzsxOf0MJMBsptL/apF/RDw3427Wef3k+iCD69CgeVuGNxUwav/nK1H8dZmSum4hNYAa5+qoPf78
PnQAEVqoPYB3ksQ6BqKBJ1Mn+Rld/EIkukfERf3FZjC2HV3NP4YI6zuzf5BlRnBAWDzRuBzOtuVx
XvTBoNyd0KnbxuffvM6/vlVSV6bSLUUrxLLVfBn+9HllJh46o5hTG4kYXgkNG0IlAPYb9XyNzNHc
CtaFxMZzQrZe5SI4/PMruL8Tf/6wuE741ZYldUq0Xxd0pYk4K8keW07VTkg/xELHSF3qH+JZwwKO
0lhiPS5hcsJxtgN6OpBEMCu0oEE42ak6zjaxA1bLmz2HOOK4500jWDO0yNcuq+wCzSCczMZ+1OeU
DEls996wcGFZ1garVf5RdXa78MZiACzvmy+AgRUw6PzVQE9NECQZUkYFlTAc6nh9X4YHu6mP//w2
GH/9IBTFh6MbglIEL98vSxd4bgxdHrESTnTADQH3UHd7nT6q0i/QFGnbB93eapND29VMxW39+Y6F
EGI8TkmVHFSH8MJgprO5e7d0mupxOKh905BtEc5B1P/8gqmYf7nHFGNjdmFEqK760ef86cKZgFwG
0Ov/u2BqSj3c2r3hnyoTAYsTuR/7xsaIjcI4qbrv//y71d/9bn6l7rDOS3Ou5n++aO3Uk1FESMeS
gb27/eGrnaCWL2uzTZ95ydxMaCZ+d0//zZ8sKDxsVwguVN365SNqPIHyNSMqjn6quaw/Z4RRkzUb
MjN3w9nrU+mnKktnf7e7TlpzxDRgE8A95+hWcwBLWqeHGOAWKjRzN59HnupjB0/7N7ux8de9Qwlu
aclpgt1YWr/sHQQGEGNa8P4E9KO/9HTkfOySpdHaL5EZkCJtBY+ohesHXIV4mk2CKCvmUm1XRiNi
U+CDRmo1myScvhQEtoAQqNJrG8MZqwE8I44cJmCxyW/e37/5VJGgSUZctnL+uhSVs4sv8+yU90lP
Nj7524hxknPdlOStzT6ou3n4n68kTne/XMa2TrXvUnOxXBt8+edLCYzcFE28hQtm/yzW4q0tW5qm
xvDgBgzxHKbEqcoFCkyHSCw/XskwPXgOHjQTzN8CHcGt0aOnsfa/0HZq2F4CnMTeRzP2MVGX2nZG
AlVYDhexF+jM+a3f3Ic2F/1f/gZD6K5J0WhJVg/1y+0Q8fE0LvkEzNWpG0dHPlRDXGydUNu05Imv
cSV6KMz+L0nn1eQokkbRX0QEJP5VAvkyUvl6Ico1PjGJ//V7mH3Yju2ZnZ1qCTI/c++5YN7MlKGt
Bh7V0jA076wJU3y8NCLorFA3iSm1QNUGjsbucwG9hrsuAag6M7hN0CkmBtiuVBaPdQeLEJhdE4ze
IHekQl+XhTbWHvwdKXo+woj4OBiygDuh/dk16iEjDTVHW0GehJb63U0K27spix2LJ5COe/YQyGOV
aSec0PZRRQCNCeFitVlEHXaf15Yg7EYClgYuCN5TV8mei4Ooguy+jFJ1Nvr3wYn4iStLhOngM5+r
F3PbMFMdrW7BIlyjMB0RJ1ggaerkT6GrqhSjPUnNHeix24Sd1v9zYM/u3Uw+sGO2FFhL39fOY61d
ZPPiMcF8utLK1WE11jLkrcdSoHAJezExYRM5pKZYne505iAxv2LcFBvKDScYdMc+6VGOmn80GbsS
7qdG512kBfyujqcPqU9pZPJY8K9t8xiWwWI8TppVP8ltcQdJIiMkCONxbJoKC6d6M/Uh3mKTVmHe
artkKnd9xQ4mQ6LHZmQNtcM6q2Eq2iujPrHvn7ZZf1XO2G9rAzhDwRx7z/6RTHGhI5TLiOqO67rn
CmRq5nZDqPkTQqf5GzAHWPiyjwKNvRBfLaes+9XOZthOhQin3JbBPCwn+PagVSbb3OGSXBkggi3B
VGBYjIfVZYFDZMY7GM5S+8nH6RKRevcQGwXoYJQdbTN/K4nXTGOonBSFu3F7on6AQqOWYW2PiSDA
BF2Dhv7qIgo3eK5RUJd9OIkoOaopfehZvG08nCEBNSHDFsqajVrnynV/hDSMvLxheA7075wi9N+6
LexupExK8397pylXbVq5Mcs6B8CZ90HmyXrbCyaNxqmPcm+lWP/5hXcrSZLYwMs592evg+fNyPRa
tYNxF7PZQ7c5XUUHAjcemu+ELY89ReNp0f8cewakJtaNHvSxXTzxiJcFKqFY2pu2J87UArmPqFUe
R9smGCSYENsEOlYHMkoxuUHtWZtVdbDTdBtbA4wmk1a+lPVPnPHZ+7zJG8Esdis9hyRSQCw7g0+b
9Ew2JD3rXavn/yYtwMxjIBwhOMmfcm4Ofpx1m9ooxd4mVqwWvOVoVIDQLQTiaMWw7KNusbYNWQ/b
ps2tsAMjeEj76wgOWSnOE382yrAPUUyKQ6O6fbMYy75286cedw5kxtIMVlnMGk+R16yvp/LYgq4P
ZgFrCaRHFejY+gNcuynJib7cDD02VPISCbcef0sXRSL0BCy6oUHzjyXcDYecJ20S5FH0MBhdp2oD
6rzyxGGP/Fm3kdhmtbXGZvTbltwbohWIgvD1JxMeCAUKmJgF1Qw0J7KltHJ8TqyfqPObTev8MisE
IuPpzw0nEgtYD1ZzmWONz3E5scUkpIRvJqpaJFlmtmfkrB+95UM3JmdnZvLb4Y8maisOUQgwPF8j
Edpo3nqWirDtOc+JJEolz0h/SJGMsEfJw2heg5OiS6ZhI2aUA6HRnHejjk0XGVAdphYS+XJFV0ZG
9+szgahLQDlKeijUERH4Ocql4llUR4JtPkoTSzMpsBWPGbFUEq47EQ8V/LkgSa0CJ6VLVqcPBCZF
xohGlPCpHA1zUpvvLfQPXjQo4f5wYZudHqpqzaDipCD3V1ti4oon4IkayWsBVQgR83P9Na+hfilG
54vVOZ+ACspdMi6fSfIvYdO4zfN03uJshPtXDunjrLRH8F9k1+mNBK+BV43EnA+Pqb1X1dajQ0w7
pHouEOHrM2AYgaJlyU409xMWm6znXkhvCodPJD0/dFr7vctm94Hvl3OQjfSUMJZ07fwdLIVBJuRH
0SnnWhdVEaB18OErWpt2StGGegj2cIm9LWJ2EZfAkbQG0idsrAVFcdOchNQuApk2i5Y/sVYetlgl
PssU7hVZpc9N8pA8U43+EcahrpOyL13UHlB6GDt3aESIU548pXbhcSrAfsZlVW7JU2nx3tGLphPQ
xwKUNNSfWBDbRt6X10HLVVbxNthX059YS+hlYBUohxJXHdsK1lKPCcjyyd9Jianetnb+NFUFqb2w
LZCh5yIse4KqzJZAoaHs95X7iVUXL6IamBJeyp7IBBbT7UlVdoTa90G35QOuXmB9ffFr+bV5Zb7H
UBFPwTynX7hyIWD2K0UXlZcNVO8DxfOmMUV6JGTqAj+53Zl2fM9VeWwja1N3Vry1x/g9MQAaFRWM
I2klD7ZFiLEzkgTlel+0KzDL+pyAxGkkAko5F2Xr9xxT6B9Wubzg52prNkOivdSl9pagSKHZPpLX
iVOUbZjpm0GHN/OQT6scgC1oa6ERz0ctME0k1HVKzVsN1kHWCJ2ZGN4ZCLgQ8QH9yjXnkqO73xst
M1QC5bHj6j+yhcfvU69N6G83JbKiTVJlb4gJtW3r8dc5K3AZ6Q/C8KcwGUjtgFaOrvRLWvNw7Cqt
3xYNlhHMh20N5ZRQkVypMYwMogTQOkE5W9IsELq7M9xJPcSsQ3nMZ7GHCTmEliN+5r4lbGbyxZbI
avcgGBXzIosXuxwAkfAqEaFT+Rt3fUb1WRyqvvoSJDB1RCeVSnExzYMZYrj3gqktFLNf70aBercY
4GWR5W+tacHgs/6URW+XV61PQhT1BDubH9x4BZL5jDKiGUgdyngX4OXGlIJBV+Fw7SX/LJO+sDbH
U4wkcUf34Z6fx6yU3+1QPUm6mY3u9R4LDpcpMxHXYXyq6uJdmsZTnqOvryqsNxhbYU2Zh3ZwjrbI
/lJLHOxC+4rVy6Tb8S6Bd1/PHG+zBzPNRwpexLAJOLU3gsiXNAq6pCXbl/SsoGFMHCYxx7yenx0d
kNuQVRx309aO3ehm6LjyLDQJs9MdyBGuqEL85BEw0jOB7Vg5DInel8zqDtA1orDpASo26CtDzAfk
xGTGGvFPZxJ4a2blIY6bB1noOM49gAMxmVVjCQtP1Xf4uT+GFiaTH+Oia5s+GCpq09bGkT3wnapu
3IEZoe7sCOFZ3nprPqCn1zfG1P3rrQVjc+JSompnezQJZ/wCf5PvsX/n4QS8j2vMCXtzhPSkWReN
ZIWpdhGN6yVvWvLU9vrBW5nyxNySwVqzX298GGKu/ozKYJP3k3muTScOZjIAR5BCbvFR+gnVlWTL
qo3ZnTmJfam7/Z2rog97fSUKYdxzmMp9nmrLBjC/oC/qHgeID6FqnZv0Y+8GJuzFSkVzlNQdQuiP
I9lfqFQ8sv1QLeprbHa/aVoK7XFNPp1dLSQYFEWWYFQxp/oYzNVjCVfpmCHaCxbLjk5IhzQfuU5m
4DCYze5Jm+QWjrM6gLiAd2Nlfmhm2keeT/pDZRycviQzmKTZ1c9KmCqHCbGA+TbTy39gs7YIRnk7
8D9ihlHFEACNnze00BDVlNxXiOFQmjNUxnikxSEQ1t3Ifya9BT6uLc+jZX1P/2nk6w3mLkTeK/uz
8bZqJCXI5phHCUm0KozK7A/8rqWre5mvjljqQdFb+6JFPiL0S26MB7qSR8sjWaZ5trM42TiwogqV
ouKPCFJBkFIan8zE1grtyzcI5chfTZyfc07tM8ijEIxz8NxTwZvabYYaZTpsM/S2gJJWL1vYEfc1
4FbiEwe08nl+JKnhSqWTXhvqql6XYEei7o2mJEecvdNopTbkHq9BqhGuCH85D+RGSD+jX/PztaBn
o5+ozzZD75L3s7vLTZCkVDGjjW2oMEOzIBKb+FPtWcnxDFWJpyoC4jxHC7Fv/KQV3KCjzzs9iCQY
eyDBnh3x80bVW9pGO2cWt0QYF4nQWAKQtgQeMrZrVaf/JpV5rZSBmNlDf4IfLz5Iwwh6Jnbc0R8s
W61t3qPiHezkZSS/1UmJiomJ1u4bCH+a9Uf637euTy08ZKhWRmZi09CmTeTLOzofufEa+ACyS6+l
nV4ynYQq8L9qo+RbkUcvvBnFBv/0R+p631ZPcqoQ7xafbEkllkCSBlyakZhE3Brw61BPHxWlP/Pv
6pBIa9w7M2zIN3rLuW0++2X+SOv62nUOchnSFr3OahB5xB26CC7TnMi9JV1eC996K3Nx12DZ20gB
w9Nq7Di0zJPbNmtcFn4QSHDI3GiA6z7fljo9sTTWxADxkKYul18BidCp03a/YJzFmo3loBT9hkJB
P2mCRAXNMJhWaK+KTYy9S0laOPaD/hxhkqhADGwdFEUbXST/ZErqOTzq11n4w8aDrY7g9VavohQD
WZSX1JeS7u7EnbuzhBJr6vwawBEjZKLocyro3APsF78uvhqlfUCQzcKys/4w+uJE59nhnIsq6y33
kx8XDm/AfX0/uw2Fb1+QzhbTekSrzQ69TTEBGepxW4ezn+5LE52hIHq8cJ7MHN8/BtStk0Bg75Gm
ku6eTpDBATPLhUKnVGTDpultVt1XOtxxdTvDCEk9imJI+9OnyAzGQFnWbJPKP8lWgygjg0VLPjWt
bA6JIE5mQEpCw9f1LH7aY2U5N1C2tHGU+vXBt1wP8djEh5ePBzc+R4liKRcnu2rugIa5ZEsUElhE
zkApFu7TzE4Z8wDbh9kFBwoxAlocCP1yJoM3Qmv4ZlnAjMumAL/MKCYk1H5VPC13Xm8h9Z9z/AXC
1OmUSEyDJQSKyNvPGch4QKW8eNFwzR0xHkROQMKIa47Cb+Eu8uAlzDY9bSHBcUJC46bXhkdrOCQ2
BKapTOHyIZSx1AkTFauSIXRNrsfE98RWE8MRXslJY7zMvhjWtOj+SAZAxYx6vB9x2bTJG8QpqjjM
QBs2JNChrEgGduH+wQwItdvCVBcCG4ljDVON3rMRsJsp7jtk3p1PFqxHNsAGqt41h9NBUFa/b7rq
CFglyG0IuJZjFGe9IY4vr3mMNBk7wJnN6IAZ8V+BaemUwPOPPdqFWSVuOCXWh5WxBV6gsZIQ9Now
gl/zRiwiwipg6cWdZfCgODF6I2q4Q6c7FlYJHGCe7NxThN/PLXHhwRe8y3v1Q57BNqszhy7CGPnc
hQPTRD1a0US4hWugcZuJL9bEW5qP+l6rMzPoRwApzi8OS2KxR9hxCgMS3UbWHdtS282aCxm3bt61
qfUDiP1k3IE39RrLe25Q0kU2S7Wy/Z5hmeP8JaUgQjAbKiUDf3C53KaJdqYVZMBrR/Dp0xk3311S
lswzvJ6QRqYsIzZfMxsuULB3yI9vSupBw8l+KpD28mxyC/jtrx8z7Ovd6NM0kz15nIp+1/mVaqVO
Sv5YfRZfwTu8FpNH3LW1HmYTF1Xp5nqopv5Ti3oOIuM4O/N+mTSOgQjrQHcHqHTvDS5McaZKhEps
0zp/rSWhtWXBt4NTRDOTN89gM5nYzWX8ZKFM+2vLap/AYYJtR1ijg0m4aMinnzikXB94PzCJY+bV
38wMjjEs9i37cbJJK2JGZ82HMtmSE9w2Hh51mw8kGqFh2WwIin7NC+ZQhByN8rJiTI7mgUav7kuq
U+Q0Rf6iiJ0zczphu5bHuVl7ByJNA5HWO/gNLmi35TRhbQPjQUhLviixa+g5fIhV0uDAShCbh+Ry
UvhGuFcxfQHf4Fq1Vz/PbKL0pSIdIth9S8yzn9soahfSotDWhy7OISgw8SkVjmR72reYfSj4pmF5
hfn0r3OsN+Yj+84Wn4hiV6McUZ/mwOszGNqW5ajPfVL+FvGw9xwGdy5Z69uRdFimj4xDRfJT9dYf
Z2rDKJEvDbWOeNDpWIsZHb9pE+NSNq/9WF2lZF/L44FHPyPciYTBUto3QYZckSgFsGvYN4l1S2X0
p81jRczMmjEn4l2rYYFJRHeSZBVTaFDl6MwtCpPAmxa8DYNINw7JV8StwPfREJSjKdeBE9LfRvTS
e99onk0tlSdavRjOHTjUGtknTORoS6zOGRIU7E4U6FtjjT5PU+0B32MqXIZIBTDkLAJC2pPqnuE5
xgVJATPOrs+jxoOJZ+YIG2jajKrsNi1jHs2/TXIJmrm6aZ5bH6cUdWmSXAgrDJ0OQe8EiKpYo/YW
Yz4BlH3z8zenee5n1E7FYl1dY2TIohPPa1fHcpzeEPjIbdTOZK+tVt0JaqpZ8Ffi9p2ekvwIyK9s
CtoXbH2bFK/oJk+6OwzA36aC1NCSZrR0K715XNGnKkJHH0M1lRMcSBdjl0oOzMTxaJvdS0M3Vtuj
OrnVQNzXMKyuJg48QXK3IG7JH958grpOAEH8GMte7TL5y3r9WHY+TaUf7Qsdzpew0DOQknTHOgbg
JRr4bUFaeFd3b2ab/ApbrFAuzebpMB0i5+0A4ll6ATjPp5Lca6V6qmDvkZl4LLLlBcrinS8IdoUr
utwvlcJiXk3JbiT3wgNQolxjCs0yQsQKfmBjuygWQNX8yHnG7bXJd25koyxxCmCQEBEb6G0QIlaK
irz0E6WezlxXGthACvA0ixzSXQGVem8QCOOIj8ki7nI2lo7gjmWlaC0PnVwnkr72s6a1NCWCvKWs
gMf1BYrmYS2YGlIQC5/c1rIZ3vW7qIi4eGPWKGXOVEAnmCKvp35LLXPW2vyhWwqMBSMHEU05C36M
Rib4TKAh/U3LGfXYDcp82OdAPaTGEondaE6UFC58qNpJMW0KC+ek58OZae15r+uYRYel/NES/lWN
7K7afzE/AjpCVWJzJOQJsii+fgZlYma8zvPrjSC3HCcrQ0sZRIl+k1LwSxbrsm1wVm0aj0ltaqX+
xrKno1jGPWFPz26FnyoZOnjgEEuLgadCwMAhli+jhaMv6Loo21f6l4jkwkzQIFSzz86MMamRJBdw
bYCSmyXbCETWm6kebnE973RQS4chn3DhVn7NBBaiRJSMvLKq2OcF00R3XIp95hA0qLFxR4Cj7hhb
VHtXH79hssf7NFlgOfBMzS5RIlNlaaHheL80VpzWlnnXEsO8z/zplzV1+TTHNrQS7ipVE8yMCIro
K3LMXx2mvoPYjl0B3pqUgZBpLrm5Rn3rm47/TVGcMOA92Z37wyXCJGFI5rMr4l9/bF8Gz7OPqcAH
zEqFWRpRPPWf47mMJas3i+R5LYleVZv9Kk37JGVBbTWSyHeOOs+wmvYxfww+SFRPVmcvu8RDDsM9
13A003rXksEf+dYAdgwGXRjstviVs4ElIyFuBPXBZLEHSEGAiLaTmFZ0aP8lG7oEEd9NDk8cCOot
pl3r2ZyJoXTn8r43kAF5AChG6+bQi2zBpOMeeV6yAZogBhlOtb2WJv9wCN+KZt2hS9pALxJwXD31
12q4oUhF3Y0aNoymOzWLfqklXxDcVnwXyKCiZPktMFK0BGIYBYSjpTTwjutlGDv1Gy8S9UDxF68N
2yRIoy9jLr4E2SFp5KsmZ1fYdYepnZVFi+cpMFrrpYNST8/FicRV3REIQujPH0TEjohm53dmGhHV
2ToMNe/Av0Pxa+udmRD4CZycpo6hY7sSgbvKvtTTtNPb2L9Yg8QP3/Cjy+lt6BoWiB3SftGjDyt5
VXAykOQ5uGE7d7+FVr+Cpj/kfhY/E694Mh90cZz8X7ep+XNEz4x2nlj4VztS527wdN77iJN5DQVh
2ojRYO/afF/A/EhulUB559G816dP163MrWNo1mb0o2AYQr/AlJ1MX5JFsdHqWxNUCdPVbp8a8481
d/TDzO5rz3rtiBAQ0eKcWGQcMYYsa7DygtXtMLlZfEnbEjLRWqq2Cx+yQ6QQ5qmHPBn/kYdm4jA2
cFmO3c0mZ3BFNZJK9da1vN8OwpgxSWBFYUme+XUrDZD+OAsZ0gDI1N2M4KmFU5H8t5WqQLgYq1Jw
9GUbB76CpOUw6vSSBx9+DWbyJmMrMZIXBQNGt5UVNJn3VDstgxZ/DBNouYBWiyJIcX6A9XaJNI/N
mz534jJyn9UJ9yUANT20S/UW7YVKPpWhjXsrJYhP5MO4y8jbILeofAKbtgQW467tSK9nAG3ZOnb9
aqL6h1UM3aGotHrTaCSC59+ihbli1Rw22oz+ouhJjCkcWA9NSd5dxjIf5RPPJxY52ycrKmJ2RUHT
PkqhZNiZOolYTvnGxNXaCxcTs7RdgqNpwLdR9QtZhpQqhsYbAr7hTsAqWzqWLIC+RcpIPKt49DqC
JV1Hc+FcMLwsET3TNug8/lJ8uZR05AO0XLg+5QqHW8MwZHi3SdVFOg3oX9eyX2dhe2DXI+mqYMqY
BVEqtgTZuDTHS8y2lLXc0enEuS7ZUwHE4UcZibSPoQlbuglTLc+xhvleEhoNbBKQNSe+9J9ZFUeU
3DjDM1qhPguSGFuGDS3ELvDgVgvD4m5EelHIR7bRpOyVmAEjZf0bLUzJBREH2945iMoH5IRlvV2T
F8jZVLSzPT3tRpzKcSTBdBj5x0aYXfQPtqURglgpFjhq3pHqdYojLFTsw4K5yE6ewTDLNXMyygiI
8G13q1cLgXguT6VCGuD2CDGs6pARfmWT6QJp6M1S3Y/NtJkhgb+w4tTeY9oSEDevvRY9eDLq0UCR
T1aRWoYMkooKv27YTDHkS9w8u95H7VC53SXhuk21ujrQV55TaREZwbPiU+Fv+UwXp86CdCZDkG2y
ZIY1zr9GxynSChqHabJZuNHatsSHsMu+ExisNsTZAI9fmvdq6V+jzDx7bfov88WbO8/M4kT16vik
aDUVoZqwB2CJwg5pFhtewIpATiK6NmJImyo56oPmb9hGUqO4R4Tbd5OFZ144+omXLsX0nfG6VIXC
9KneGEFfzVY8TMzGN/r4GlnxFEQcxltywCkE4Mbvy8gPGYOSi0PmVzxVP46dnRAE8Kq77gXj5pbB
07zvve5poPCUBbc4OAg/ZPDx8aV7GslwExCkvMQkVg9o+fXsOa2i6+w0X2krqSsjCUoRHwfqI/yu
wCivrO7wJ6851oTcTfw3CLFJsryTO0yrVHk/g6QZt+PhOA3+bzN0gW2ot1ZFBqZF673mFAnhmxF1
1oDBiESQ0UbHxrUoMGQNNOKZUdEeDgfq4jgt3iJV1iev+tfS+wNtf9Zx8BztTL7oYHMIGrMvuuE8
G772jkzuVA+Qo1qbg1kqBuzD5FB+ltN1rtSdaEGj5z2juqGYSH3Et988DwXVCTtetPM5ZgU+zm3F
OD23rgy5nFMUl3BxYvIuvaENIkGAbjMDWPT6v24ekTJk/k3ApLfMojwa/QokL7v9EvOGj1r5lIkW
xFysB2wIwtaFbyoZOiilN7sy53GrGPeid8PE6bRgOm2HgWTGFS2Wjb8sV+DzPLUyd0IxfuEKLENd
q85GsYLlSELbQKf6qPLuOmDzIwVFDmsi32GsvAJX23+tTRyYFUkbihmra7bWuopDNDC3T4Z+a/Li
05btoVPyRZV5QNdhchxH5xnl9NbH8hp6KbUHeD7qfnZSmx7MzbEuh1eXnQCjohJQpcQUm9EOTODm
oTUMAMBl+gy0Zq8TJps08hopVk6G0Xw5NYPESiJQs20Q46nZhrIy5s0olh+R/A6sOg45a864tEgH
rZ8yZwjrDJkHJB/EMBTLxq2N3EPGrJdKA7Zhi9mv8/TLQJtn4+Njrpj+5lIM+O/wpqA4YTg4F4+L
uq7psYXj3tmyfEQHt0aO0arig6YH2JNFuvcTvQn7zjksOruSmYJLRul7Vis6RuZWvlUwf3Nd/Pfm
ERbqZ2/Qn7XG8mW7uzIii81nUlUb5BSrfL4gj5mAcFCsEL3MpF+bX+J21ok8c5ku+Jc+6qDOrZpX
SwNNMrlnM66eMsU+32fosOmi/M5mXHKwHPgmVkq7UENeqdjaZmaNGKrdZyY/WjUMQCzhnmn8+2oZ
n60h3mOXJyVUNa9D6rRhAsFjo8Om4IKw3WwDj949qfo3teagosJid2G/UhUmoXT1GaYVMY09EA5V
6x5yOn7mHOYXOTrAKDlpghSWOV1Ruyf9ytpVEZk81qQTJCN2GjJ8PuQHVbWMZnumdqr6mruMoLmC
c6zIyCV0Bu3EHUwqAuYYg0EaoSSbVpXm3azxntlMRurCQ9fvPYv0B2v/jRApWEiEM24swfizmsw9
2+O/JCEEWHPG907yXYNODxX95M6R2detLD1KNde8Ed0LD9qEtSbV+6D3L2T+IIN4RV9K4CpNxIDf
Bt/iUqRhpaQM+5p2uI8uImJmBj7RbT3rQDgyNQ4MshSD7QZApxOmvk7H2X+WZg2pi+3Mpum673hE
joQsjMf11x0YCbWda90vtDupyi5OMp4oxHXuL8AuSZG+5pn+Fft5ubFxso65znJ+FNN2ISe90+oF
7wuCOMuHulFynWbzHO3cqXqfjexPJ3KtxT2/IScCjWLR/mPW4wzFrdGzUz5R/5HuynusO7vKQ6Sw
+JIBC9vPjd7Lj96VV8sYdg6xT2EPpjPNC15H2wKvarwAUw6cxuzPTl2AtUFRAROYdY1AgtfTqYty
xAnbij89mrv3fNk6c6giSzE4tZ7SmfMnBV4x2P1rnxXvBBkmAXuD5zpfNDRIKKQnbHDMY5jYUl4k
jhvv7ezDdEmN8Jz8052QlKRM9JgxvOpezdKHwzsQLsdmSX6IymS1lbYB6EwyVqjYxFNsAYyvRXFo
zfTHlo9/FerNPsOP29lI4XozexvMYn6ENNAO0znqoOz6MGXh4zdvLTg8zjNIRpoDH1UiJBClucqP
zKCmjVpfkX91Wr8bOaYp4jAf44EpvQtFO2+GpwlDeDCZwxCgI1LAchTfo7rqU72by/UA0/Ii8Koe
cpvL/hFBz1F5Jgw2xQmJlCwQ8/zhL/pZL9yLxw9zN6UlfvkMYrMpAPTXM3gfe29Mv15l2WdURt8N
1ENyVYlI0RfzPi5NLxyHFb+mqOuHFvjRDEGsm3987D7M1PniBoaSk2dSWw8djDpX305JY23HOoJj
BdOCLDh4SQzcv40kWjce89eoO852QV4JH9ffcW/O20xQX2F3CbVMDY/zQIRa24Vm5EYbXBg/RtcA
pvxOnQkSpEMUea7PSBgISp0N9lJlhcYuQzJQGUinYBWn6waPQVx6NlzianDkIMNuzP1s86Vm9ur0
BtwU+iaRV7741ki6OCndWx4lQI3HwUyulWG8erqXXOZilE8gRZ770i5YgekWqk2gP6rVAKDiTUjG
7MHwbcUkGIVOnLHmKUsF/4mJ7RSZD30yPuU6gQrgvz+g91+rIiG0iph5c8nZdOF2iuykuV/y9pIK
7u/B9j+8iLAZPa2R5dHU7MAbHfW2IaocdSrpZv1RMH9irouyGPJsMHl2z2ZqaPYkuwHlGEsHorxJ
iIRxNTRmoxbhCCzaG/UKjuMe26G6LOQFoFfOr6qKdyyszzpr5XPiq5YkiYz6dXnTGkZm5FMAD5qR
aEUOc9loWv5cyvIp056SKr8MXUK97jHV9VLzpNsZoh7XvZMkC4ABRYIBpOMGgtkntAx5RM80f4Cq
dVxcVSOaWyBZ2MSq2vbAoMqCBOjOn0Vv3E0Cw2KfLW9q9JuLxyp/O8bZsUvFd+suQd1G4uB42rlq
mLCaBEtvsTB92To2ORdh2xbQ1K1nKNxqY8iDjxxQXpoFQjUHaAKb+2cYOOABCT24+HQ4gwlYoBTr
gpaBr3hE+RmFDAiPiwmKr32YKIlPhkfmn10PA6lL3gNWg3XmmppBZjPjtPkTAnZ0x+jB0DJ04ID+
mYMkoA6KHrgMqO8oQe9iAWx3yUtK5grBvcTKZx1UPtzpHjGD/dIc7NG9dtAN2Cea+Ulv253RLQ+t
1upnUp/7jctEnroyOpX1BKk6Za9eNyFgK2bG8G/5KEv/KYvg2uQkFB7Ktj3qafwMBOJmciVtKhBZ
sHroYfvl0CxA4NLZfpRmea5FdzTQX83Z/OBZA1FLCgDZFDdHX2Nu1uX2W8nwf5M7FZo7iHgHkDqs
Hbj7Sg98eJ2aL4aAuDm6MvmX1zvL6d8ZW5abAkvCeZwo1Yax/EeaXhzoGcZJge5kY5XkupMh8dhO
jTgYQBeASlphOjboUiitwAzQ8SXMaGvNjtmXIUyGqPEzLcupx5j/WJGHxGuROId+3rt8sn9ea9y8
1tqk0aKA/MAj6s2OQHJLmKf/fgtgE4RBiVTcjirtLGJQJHoV81XnuENX3tWj5TrqrtaTPSht47Ff
f/n/Xzfdx9rt53MLyxfx5kCstF/3l6zKDvFC2HDZwFKyGz95IrQMz+maGdW4rn2gggJo6a5RcnVF
62Mks7+z19+6kx7vtIHpHwcQUALCzzhV/fyOc9u8/++XzmVY5FkxY28WQZe6f5EQCGaaKPUwpemE
VtCsb2jQa2vEKzF58VkDQfaKFe2rEjK6/+93cN8C4KnxdSTVoFttMTlgKS5w6z5dCQneWOec272z
/+9vplYsj5l9J6RFusDU2k+ds1RPvcXCgt/ENVdz2eT3eQazH1/pzTRBfel1cbZikFG6AfYuUiAw
k1JZe4k+A7GqPT22T2XLNpQUuE3SuVTWcyI/GIM/D2MDibyO/F2vsbdk25psBcf/kXuf8fZ/Lnfk
atlusWdyrZp6Oqt1p/nfL/k4s91savuYASn6z5Gpj1YLNpZf/vvtf7+UvXWnuwTY8CAxG8zk1ilt
/+R3eJk3/5nHmkZjDe1GP/U4t1fx4Th2fu0jv73anu/vsxHbl/iYBVC0jlEqev53cGEa5xUc5jHJ
0/dUp3L0wHkyMoKSQuUY8udWO8cei7Ntsi80k/p7lFZ+D5JSvADK+e7X37nz4geTQ6yxtYx0zW7y
WrJXOA+VFyEn9yCtohbk7/z3S6OURTJ0/4Y691dHxfY89wxpDM8xX5silUHH6u/xf1ydx3LcTJpF
nwgRcAmzrSqUd/RmgyAlEd4DmQCefg7Y0zERs2gGSan1S6xC5mfuPTevVbdzOv0ljOZ8LT3kdriL
qi0J4d0ytHitvAiNGSa69TjKBmQrZNjZv5UMFG5MD+wbQXFL6glmuT6gCSqZZejWCXeXdXLi1jqN
zvDXiy1GyILBhWs2zwmUOkJ9W5IkhnRd+oN/IpK47yLUmROwFxBeCySMD11WHWFvMaNeaGhjF+Lq
8ZKgCHuBh0uzP/KSNDdz+sQkqG2B4PzvtzPqOxfFmND0h9bIzXsC3dHzRzh1EkU0FCueKfRZ/dpq
bN4wGDFgr7rti1dBFiEgpH+tsxjxArA9ruI16vHoDJ0pewfV7+EkO+hVk7+mddkeJMaZR0D1J0yC
isE2edCOO9YHIO9gxUT6qLmhu40Ha2RFSPg7QFCTOwEpDZpQtc7i7s0g7PGHOW2rMDApnYBKSkx5
WsoCWIMEENKSq1vWOP8YVthQjjuglUapoSTgSaPeEk8MT3LbGJ7ctKhvVT1ufzMDNeRAzer3098P
vylWVL2YHtLM343hmxZ75hNdfvxijh42bz28VZVRwpAnAjL3cC8r1VoHu7zFsfprN2Z08giHClxg
YMe66v/oOruerKM6BDNgmedpeC58smbwqFDKuyQSmS0wTluJ9GyO/a5w7TvRaPo9Gx1rx5/X7e1B
DU8oA1ekB29z248uvx+yJW3m9zNIWH9JEG32TgcH082a5BtvFrpSztbHwkqNo+zHjuIcyH7OBJHt
+JdCP/NX92HBGox1nhxkiTvH0OUOR2y6/z2HTdcrjuTwylWr5/a2xPwdaEl0jVopHnF7RncU/P9G
xCtXFfd+EPnxVkPAd3I7TmhQsg79hLujUi122kT/BpgSxWtFBMrv4fCbNzwrXkRW71sDRY7QGbD/
BlG4os3WcgTCBi4AfWnavpqlQMTkU9BXUJrfQz1Otk3cqJ3myOTdTbwPkcMoFh1ETlFP3Skq6u5k
LZ/F0PVCPAH3iHafXXVNsAA8YOT29tZ30R52ExSRzGOPOPRKR69oFY+/HyzXftNQx55+v8JHxOMc
xaQ1puV/fgMuhnnnwfwKLTap3NpXrd6p3u1uv1G+TqJ5+zCz/9WAULWi+lPUBG9WuMdf+nhcGAjy
sdWicWXyfzlpWPBBGKUj1QGDIVXr1rdOhBdaJuOviBDQl0mGiB3e793O6vkqJzYzul99inhqN9AB
Adal9k9u+jnpoywU12JE3RH2OZUudO/1bypmW4dM2FnabTvud2a51rXWpU6sKx+I/2Oz+fu1rUC1
YdED/b38il8M5Za9JpSxJQ4K2HHMSrvMj1Ispiu3fsSUlqLBacKdZtHdwnRCsbNQO0acGE8mQuiV
Z/ms3xZTspxMSFzLb5GDm5NHiErlASay88bs9K3yzO678qrnigBqlgAXZ0lws2x4ROCd8rXvhg6p
nBWrfMFU5/eUQzOBnqIlNA4dcx0/mrBw9xZymn3S+uFVJ38Mbt5dxfl0YlCuesYmqjv/51NF4lFm
jBaeyBj92ZAZr4U7Gfs57saNUVGTG6GhBWWBprjOhfGaa+RSh5ybmUWJVerZzu/cRxYTKS4wdodl
wbi08wlgJXgIv7BIA+o952liTHNF/Xfxw7becV7b68jMhrsY06PSuRFkr/a5FFWQVVocWPqHnrbD
9d7zYFwd7hxon+03Ob+wYGcyChvPG86xwjMnhA5RnxbH9cdXC8jqPoO5Ghhm/oIgRFPaPdUmwPHl
NDOKHVD70XAGVolN2+fxuw+D8ap1gvluzwZ7cgckMl0Myo+VvjIoiStl/rMxLwcxKMYTanj9lLPu
6Ay7uEptJFVgpjLJFlLZiN6OCAWDdNMhOf9+MLXyJOME0C5HDMudkIR5mb4bOZGGJVo4prfM/akf
jVNZM1jX2VVC/AahaZCnoct/Lc6aHfy2WyoyLhAhbrPVsH02tVMtdW/V5XkYtDrqdBMiyQOpmztL
Vxfq1XFnOSpI0SbD+LR56TjnLNS5ajDSlzbr9wpZ/EceAUXUdBcdHmted0SLqJI+BIkq6wseAf1Q
jbXYe3MNNFYqwtDyKXuO1TJKywmIKQd0tpo2vpWMRr5L2/zPJ8t3tIohaBJh1cDYR0YcGkCoy5lP
rOL4OGA/Q6yOVrKfVQ4cBWeeK71o9Rs26Dv8G5osfEIkv53eW1HX7zUI5FNHN7126np6H239ILGL
xqiQZkydnrq0qftGymu1pwsYL9S3425O2mGVNhmgCGN5iMndfBqNkRvSONqi0x6zzn21sY3RQbpP
lgM7ckjZRRRGU9+x6X10KbPPREbPvWP2t7rHB8e78On3A26VB5Vp9glek4e+MEKQ/f+Kx98K8vd7
SCZdBAf/GmnUD7g5cSMmWfEnk97eyYCl963qtxbposoRyWu8KIt9g58yl0h4TnrDtbaxCXTCWRoA
yXFxzfT+2zQqXtYFWfD7IZzYs0/+uLakpW4jVM9tatME+VMj7hoEnsCvzBOp9PGpnVy5h6NLRAdz
PfZLRb//zegwtHK4cP4JDAxEsfZnNUj6EPZo1ziCxeaj0Qnhxnymc7ePW16WgJ0LqNmunDYJAvTP
xjAOTp75L0WXErI0JN+lqC5myi2sS2ncTE9jeQ0uPEkJ2MYD6++mETz4WAIdzJ2B6Akv4QZ0m4iA
cCrLWovHWwr0gIdN8R8emAE66OPvQB76q6eWuA2DSrBAdnTodUat5jD1NEKYfKa2pgRbYEgZ7z9p
xPYevJwBbF6vLn3bVBfRNFvdbqbj71dGNhx9Pc8uU/PEiMa9p4MZPmiu9jQi3jYT32UHMLNIFKlx
bwtCh/xscDbN8uXv93zJlaHkYkqeFt5WXjfEhKY9n9KufNXmVO5sFlrn3w/E7FZHxd8gjr3mTCCu
FhPyjjDTPk1Db6B6EgZaVm88+cQKBQ3srI0XDtYBzRDv/TocO3LcpvKNHw/7cAK/k5S4R5HnJTFw
imUo4ZMrBXR8w39JIILt3efUIU2bid4njY+JnkIyW8mRCv0mxCR6lqrVb2KMC4Gs6FTyUba4K3Sj
RKypF7veUN6+NZ3uqdZNnthsIHC9RiCkVV5xTmr7OOK5YyfpnfvZydwV48F4m3QjZppSFbe5O4U4
J1+tBmt3LqfPzsLcFdXOdIjFaD84tf+SYFuFPDD7mJkH5/pW+D6iCUOweJyFoy7MjK9Tn2BXHxwF
1jJ0/6FILLeDFZknDG3vCJGQbOQyJRyooF2VCcMvwrXIQAibQzdgFW9/Ux8Ny3S2hbj6QzQTIijY
fo9RcuWn0rMeb/Q9Fth7uYRYGk1YbufQKIMKXcY2dnL31OAwYVQDOhHN0/Rp9WzrfYIVbqQJNDdX
po+2Goavqg6vxpTVn8KQXOSeZz+Odg5yJJ+mcxkymgCYb+6iCQFL3NdEU8Mt2VbKH26/n0HnkTcy
sZ6xoakj8P0+cJ0UJsBy7nWzqc5F+x4mmX1tGAHuhSN/opSvfmcBv9+XSicWPHbwPE9lw04OOZNe
sZfmPURKMyqfssOo999f0pT0Ax1kCs521zzaCPF+ySjacsL8fmYlltxBYnjtoHee/u/DvKSz/t+X
XSZoIgfoPf/5XoI6qvYbiMvLrOL3r/b7N3WWNUkcI7b5/YUhoRg0jCk9qSY8wW6Vn4bFOZVhsGLZ
QxgcATvxKSR86jw4LSt+3DwooKaHOQ/Hh2JuNlUzxLewl3Wynr+qpm8eCF6ZHkZL8KPUivXvbxSx
EryD4VEL18yOHhA6EuLuDYv6c7V8SEqYqwTK/vfrAgUgcdY3DTP8l+G5eBeatnvofaabo+xqlLko
sMifDcDx/dUN+zlOsN9KrtFtYqqDZ9sf6GQw69toUzzozuvUxhpvpVvezpzSPtmXRDqCnfb8A0km
T+n4IKLoYTBj+dxp42fCiqInr+aQNtuIC+3iCv+ddbu2i8egr1374jtptANq5K1tczOwrl7XNnFe
BYTK58mU+N5YIDeFjTJuzB1w3NBuJYt7RQIbOZ3lfDAUP3lSiT5VOcKNou/YR32PoNxpjdUY9d9V
mKvHMh3EGm/LQTdzL1gXGoJqlDsJPh5tOOkV1aLvIYbWkzkEnlqHJKu3tNtFBvmPrxBS7THcvoYu
UhP4IWKjEgpXpWpigqJ73WEVJ+xH25jM/eKGyNIaY12hJ9uhQVSpj1AYWjfuArv2bo0zQ7uBt+q7
85snWAcKEKdm2h4Zs/1YOgttm7Dyleij17rIDc78cTP1AxpKt882VjQ2LP7bkZbC2fb26GPAca0N
CCXAwAA8ML6a6xwtDrFO2rhQ7PGWayy00/wIvr5iBIaZKy6r+2AUp7hjSlmYRRfUZrMvo+zbHbo7
UNwejuotspq3BIfwg94Vl96XF0807loSpcwMq8YPoVWHhuEDIAG0SgMBuROOfWTpEtWWrl6GZYVi
d8iATOqoTZerJVdcHNmezqsIgeDSrK/1ZlLPNI73CLLeMj1joq6rJ7tij9IaCWYezdd7siAWjsBZ
pKiYsKB6cLW5sYTGKK3N+2BuCUJQQ25dsuStrYrXZvaYSxAYQZCWAEWvn0snih6bhsUu4cDLOOnE
HPo2hPgFKoPMA6/gOsclA91xsgOO7uXdaa3CuJeb0OmLPV2MHjSV8a8RO0cgJRu7noCmojzMTclK
G95V4Or1vSuQRJNWdwm79k/VJV8a9kYiMVS5F7GwacAjD8HySOxF63yPKdEpSrZtICfV4j9LzU2W
bFEANzQ2xZ9o9k/EF6HoRxeJGjLE1hAjCygy3o2z6e0978eR0z8ueEYGpvhXfzWF9z4yJcMLxewd
1PAl10EgZyEyKsyv3Eb2jFmrSWmJHf6W+kcUQc/AKXAfWJignS8+QX9OKDxVMBozRX7UjmsEReEB
wUqgNcPfBjjwA8tT/sAl4jrq1pRJHmaAhj1RM3fH5R1UaiQ4NK17GHLUm6UUp5bHH7VtJMAtqKmQ
EPxjvNsD6xKjgaSZGROacUQhi1P5xVPmwwgdejclzYcsJ/KlDaAjdh8OGzS61SYctqXpeVfYiewe
BwdPlwlOvdb/+D0jDVbD9Fege7cGWbVY74vtHGXB0BrXmBcy0ApirzygIrgt4CkMovvKCL+1kbGj
eZnfWrPadcXifXyVJSkP6AwJ31G1HfhD+SSU6A5FGl0z2UBUkfW46QBu627GKpB56qbObc5F+WSY
oUVGt0My8Phu98PJl8VOtdVBdgXXf18YaEBkuxpTjKkhGoLUR/2le2qCR6BpD0tkY1zsEi3l0JXj
DCwt/gHSHh+RTJWbocMwTNhOIGPdOmQ68g6aNqImO2sbKYDp5Jz86XPrOR5nkkk9Z2tW5InFsTkE
zigxv+o0+YnY1rZ/kVLbOSOEbb1XCYOh8N7URri4fgSyNzYmdKvXyXvWQqriJ0gbONb9Duef/zqp
oVhFJV4vTzlrxx8+fZ32rPNPtmMTjNdhAK7YgfNkc4kDikYnSmp9TjayEcUHItmSwDDgTowu5cfY
EmFPcCAKpQmFt/DFyQvVF6KZDPWu/VBbNRkQBN5hr8GFYLKzw1USrsLeu+WtlgR50dG5YgsYkF9N
o4lMymrSfW5aOc4zDkRUXggA8S2nyAY4xjgxqC6dBGRtwRvCpSfhISGfzp+i/tT34jIBcb2Yg9ym
kxFE5vAqfYt5oMa/1q7BRDTVNcyUvTFcMW5N4rvhOyU4HpeRvqzYDeUdcSmdYpPr5D0dMou7NccF
Hg/qCbSVeOUGFEpOlB1jWTdnlnfv/SRPUxlqWyLPvzx2MU25hL5wJ24yRtwablP22GT6MBKnef4o
svQhi/GhDbOnURN897bDAqf2qo1bD9+hQnldTOWJrfluUt2T5SVHW4vIPRN2s536I05TFKUTk2cY
If4Su/ycFe57NcWgROVz3TUxUheBkih3WRP19YM3z4ROaWyjZFH/5CFJJqkWBpkhTQ66TaORk561
GC0YCe2LEuIAy2JqumlZjtDmVIl765UrcU82+tbLFh1F6gB1MA3jLpDHkqoyb+aEqAYnHbeuMHEx
2OnOrwx8sBzLNPcatxJOzyiiGSibwGzC/GQkfycLJY6Go0OWhPoarskGHttHNet85dwLTt5Nogzr
5EMxRiKCqR9f5nYSE0I4CmZyh09Ti6i16Fmp2ijqkee3VlA70Vseo6GNvJdEoyolxS3iMQnHQxnx
olCOdSPb0opQpzannEx9nMF2Zv1LBHOnax2P4SU9Ueo6a1INEX9DveX6e+yalo42wTNRiAB4GCIw
WK06AxkWAejNE5DxCILjgazl5kC4aMSzaDAYz0H4aOqtEk371pnlcz7YT/Ggsc6WAH5LzcIzGt3i
wpi5yabTUKJgFik7dG/qL6Vd1BfqUYGP0e8OGnYqDdsiWt1lWfptqZSSA8IO4I6BdBlVfdf6XD80
Bga9PiVo048SVgBEwWU5YRBy6Y+tsIev4HhBb6CPF+b47SfGY9b3Vyk6A676+EkIxGXIfIuoOOPT
eTLBot3d0Uf14MAyoifl5jEeZuTmG7cRD1pmrsZiFqxlQVQkZ7OeSaWKeE91bRJYjM6IXBWLox57
ZTzod9gs+/qrd1rtxmWM+1LAAojnFRs92oK6dXaozlG+3UG6mhtky5wU4Wvdq9PUuPYRTnSzLozu
D4/SX5m9Z15PcIwG4DhSABRgXl9zRJxY5cgLlQMPA2h23WTYW1QtW+ssmH033xhom6HdDzpP4Shw
rZUsJ/wfs9Teig7vf2t303q0wwX7xDpICka0eB39zWAO2Gm67pwMybBpnYHwCEv+SE4DUPfIXQh5
d22d7buK0LNrHQqrgYSh3tzNpf6kBMeUE4beAgNygwRTPH5+6jXLa/HeGGsrQ1aGMtvaaQjzfGdE
kQxhDEVauSUmwz7VdvplaFyfYHtmstpmW3/vTTAXqX0L0/gVR3RK8gxnmk4aXdxle45+hGQOSyEb
sxqR9oSAbu3CBydZeUeGmAbGQLW286jdJhM5d5EWHyefe7XHGLGm+f1Tzx7Si5YNc+KZX8gFjZUs
h5s+xS4GLFiHDgTwXAVeyi5S09EGj/JR5TyZTkEYOtWRB7sg8V98seamqimOEQXGXzIXSJlT+arC
fF8W1XjIK/npkajYQvONWOmsaa+Ih+zRnIeFfUD6U6wYxUKczsOPevgAabkYJ/k3u3PIRESap7KD
T9SaNcI0xJ1g00j9rStrV8g5PMhkfkL/gugu8d9TT/vpy7napokHfgbqdZgi+KhT72NyMlqugoQM
EqamKMH8leWH1spv0u9+GO6+xJyemBHDcNuc2rrSzo0DeiKvP4Bl76Ugj52AkjUjZkKmaioPfXyU
9dwTX1Yd86SYMD0mO1jSxhYLANEz8IZWGXogwly+ElSGmzyMGXzIl2EGT1pHVosmgdnGEMWC0Aue
+7rFAtPmMI6n6iu3MHAq7P4KBkodQ9B+ISnlVE4IEydSGcqD1njGznYrE59I9Ta5xkODZ0SirSTp
I3uHvUe8tski05/mdmU2gpfSqPDI4Z1jSj9vzM8Zch93IaJkj1gxoH+XTpa3hhjRLf3HCzXMNtR6
Nm+ux2PLKxeU4wvkLLXw+r5+o8rsRH5HGg5e3UVGSQytLTghD7l0WoAJYbfRl5rYFLX14Jbeh9cV
KBO7W1L0jO+LPtxVmssOI9c/nfGvzlw5NZy31MD+avned1vVG7C7v2yrZ9UMi1Y2evYM1R9wG7I8
UFjCZmd5FLqgk7SoWmEdPH16AqCwAnZ7D7lr1+miOlS9tU6c6EngIEbOBUjQyBBR06nUPRLFKSzS
jbKU2FYUzbkL9cSO0Lm2st0NOQ/gPC1ZrGWBpzDFSdJjXJIEBBEe5/6QJXuchvxpqE2sLJ24DqgL
DKaKWKAjMHFAvgHvOGfnxM9rO7BtWqVcciAw6A41QY3vo/Q1qwHrfGVvpUETM2RVE0SiDvCSP2ke
DjvsZWzfUfS1zGap3HT4BAYSJtOCWlIRc8zNdXaIGCEiFck/ht/ChzqihVhZ1XjCurLh1f9IfPgz
45B+aUOzCyPogi6GNBYLLywFA7egoZMJCup6/qbD7VchqZcwiIilYdA7bCJekLWHTl/DfSuSL9Xj
O8mSY9y1n31Dv+JqHaLUPPsD4cdb1RDn6ia++v2Zh3vnDtWHOeDcYot6T7z8y88NesUetewwb+cW
kTu7iu9ibI5RNpw7e+hXYycvUDCokc3madbswNYqtOOGfItwo6ymNPxJ5nGfxZxNnsmbBZ8xdPGV
69ZvyrcvoUnBHhuEtkzjeZB2tLVVt5zNf9w4CWR9nrUnvWVUZJolRT2i8jF7rJV/zq3wOEtgnWKo
njvhvhYdYp+Z2Ca2kujA8v7FAYhQME5K/jAed5AmmVCftOq1HmlrGvtFG3o8hxXjElNXO8OXHZsO
uQMdwsoo6isEMKt+ZP9BOOljPE1qw/1A1KUfNPbBp06KeHU3OiKG/dTPr0bRliT4vmd496ziYWJf
x5Mf1A05jNNygECGSSkV7JXV6iRIokjY1jjrYdrBYNNzrHWleNFinJ+M0Mj5M+F5c2KfB7CWFrlg
W1enSpsaJpPF4gnLsXZebK3vV5S27bqPagbPbn0ffbSoTTN81bH2xlSg2YbVqLNztf467jOKfYAD
A68SxgviYjktSthjoMMjMlbwzi02qhKVbmx3e8apN/REfxe9TQRRYltaAjSehsTRlVFAvWEinsDI
2I7O6zwMz+g7AKa55bNrFOc8Dm9Rw33k6t9W/ONGXboZWobncRFfM9bAQEje2V6rdZFeFQlacCxe
LF1bzWp01qbL44ThaJnP+H+0FhNn2uJ3a3EXw601WVB60OfYybmGw9veSB4sPEDMFtTOm/Rv2+mf
R9wOM71JysxYs6vHOIKdksUxqt0SwobeFt+e1vl7VQqTk9D41hJWMxl75Y2Y+Jf6yv7LGKZehRYu
ojBtV0NB4+iyp+Gt5PNjqBT3DRVoqT3GJZcgGp0qsGgHVoYxT8DFMCPKddFrCRrh8N3UcShELYaZ
2hVBiNz6Rt14zEt5kY291wpSL3L/4LnMzmv1UbT6zUQmuUEueQVncbcGQpat+tn2ccYlcERol8ug
FhKro6NRGxJqtzK9grMPdMi6c1hSOiVSrd4yt39NWIyBZ0GFaXKUy8Mkmh1lJmFxNXqg9po4IMXc
aNhP5FKuqCEnvMy1vzamzwUxYznMpp0RJSPF4/MclX8xqjAcTSXms9ygwGG/3wPosmF9UYzl/8Qs
voy8f6apg8VA1jbc0nPYdhiMNZw8Ds0fXt0WQgjveo0x7aooeMx0cEtTF4prTlNUsb8AsFYbFj99
V2Nm5u5w5/l4O+65rv0QkpVBsNwpG3GxpxLmqT1dXq2lDykSgsnrGRI4JPmKyd50pXV36/IPy4J6
I2T8FCFfjACTcwglQT/H0cr3IovsZFyYnfvWLsnW6PcmFpqbwjUvxsSyeUBloy4Jll2lAAnBV/KD
tgJ94yFT0kf0wAl2bBBzECGnOqTiiZ87X9hrveRBrKRLNeM8mqaIg3aA0hB7ySv5RNmpr0S99RP4
oLpymSY2t8QP5YrUrynIZt6QOXEeKsTRMQEgKRvtDxvQmj9+r8ViX/p9fGlEwUsSch8nodpA02Nj
M+VrW4XBOPPMUTAcZtKseYo9dobZ8KYXVXRGTQXCiuoF0qCx8H7EaNqrhlV562p3B+XBEZn1gqbs
OMWHxF9b/mvCRCoAZ1KuqoXX0/gfcYvslsaBUfYo/qHin1cut+uGp32Lwmitz3q91eq6WzvzkjXp
YyyXbJMAThj81tb/snXUEUl1h71OLp2LYhq4LURL7HsBZzy8HESneVgkcNC46/Fh7U1D7htcSGvi
sjBZ6+fZMx9LoAmryPF3MZoK/tquQlNkySWOYFVCZ4AgQdGMBJCjz/Hsi+jUW2FRyA8FmnfMIJiy
M2YBU8Joq/H8v4iewMI07YlutDwW1fTM4K9mJmqeQe9+1OXEers91MYk71WrHZVxaXh2yCQX637W
Ydstj2s3+ONRH6xAGAP3zRC/RvoxtPsXNfLub/NmefdeY7N4FTGYtL5zW+TIOuzKLPEueHzkysCZ
FFB8vVa90uHQTlvhzO+RbTJZcMKtHMSja0Ro+0i/kAUoUE+Xx1nTT5rXXktNErmnsz9OJ1ounSl1
orBkTJTYE9ZmAnrie+Ho36Gkp+a4OvIIoAW1h4sxVI+mblbnQkZ7evNixQjgZjTpl7AaNmNav2Bx
HrAn1MvftmfQecyQKgS9H+m8Wd1NxULuCv84xtysfbcltY3vkc/mERXNKzu2BmAsWKZielGu1x/w
I4So1MhvpizqTIq8IY84qJ3U3ohBXBzcBcA1K+bIznP7oqXl4ufxRuDVxVkfUAJpA2nweCmC1hds
d0eQ55EL+ITAzX2a99vlf22XXdPGMy8ZJv3NnGVoj5GpYG43HxCHeQjdx09iEgT7xy0IsIDY5JFS
kmfbFCwqR4aWjEw4TzORB6pvGblokLuajuaELFV6tx162ruYtZ8yrYLKBOnJZZPiv3OXJUJ8KryP
vtSSQ9uB/ALlszK1CDqoi8Leiv0LaviYxTKvNCPRrengk9CdEstnofOT8/TyYbZlvNY9b6aCxc9d
xwwj3Kih6R7Qs2OosLaSfKVw7q8TPilR6jVose6tgi0fhMkiLdKOfe+ezHEMopZ/pK5jQUgNbT42
nYW+1Nx5bh89eB7tIoHnWOC5679sYd3GaKDJlQ/gqNtDbHknbal6AaPPW4nFfKX16u6PSR7Mnb3H
izRcE95aacNkXfaQvCM9Phi28TPNyGsMIdejpvfcqvU50nuGRA40YZ9Jg9mvSc/963ROCAMPZIrN
876p+vYbOQjDuZQF1nyybU8cB6zUXlTeDd96W4DSBDzZBreOZbvjur/GREytBR92c2/sZZe9kp2u
v1MBRngwwnvrmMOVNl6dS5/KPG+zV5a6OgGTo3f0F4CQrZ4sUX+RGeeQZPgXUo1AGtDdYAiz7dDB
XiZRHJ3t4d3MDe1sx80FYLSzS7uYrUJdc3ibWaBnHMH+hAvDnbGMZQnSmRTu+vReSZY3cUc8U4qy
d2PUbNlLq7qUj3rfZ4cyk5uenQ6dLdghVLPzbpzMKtAJ6uJcWccRwTvdCJQBiuepytt/VilLbCUq
XlhKOCYh+gWe7j8nsE66puAOsrV2r3s4J1CVBL6ispO2/VQn9i6xXX/bjMnOZ+xYT5W45ZA6nni2
AMd2762GkjlnYGoEJkpJv/o3cuybOqMLYRhsAhX9waANCCPLkfM1ZI1M7D2bUFADIHe/s6F5raVP
MOK3W+vXDrNzNDXFuwO6jXZM0b+S0Meeu5m/rIjJgp1sQSpNa7OXI+MQeTRhCJ8y8Rr3TnoUUeWs
G7Ar634JR06ZiIB3zXGIAvKYYERNWGN6Rk1ebQRJ1wbjxDGiT5G7Ieb7QaTpExhyZ9c6CD1HDBF5
z0DTjfBWN2375qgu3vDjpO7M6pPWLNrW+tSlsf2kIrgIi7PG1kkXreIfjVrOoakLzJlYy6bbVaZ7
q1r/qiIGwoacrFMi7fkA0IT5MGgbqAsRqLK+fR57m/qzz9KduvmzVR5kVX2oXA8MQ5lXLMzmRv9F
XQpqOwmeBaPShuMKFCyepl3d4SyJiuae+aTdQqn8jDaGBTiTNggBLEPmqJ65GYaX2PWxGfKOos/+
diK4U/3SXMcclbFBmo5jxhcDwPm6d9XaPJKHRXMxgQhzMHH07PhR4SW3RFA4iNaI1lze/zLH/Qyb
9J4ZVbmdWEbAUW2eDSZviBzyNdyDQ6SzY6MGoO2xTPAufqBRsTOXGY8sSJz2mZxPoAITNgUIANBl
OiT500b0k41rHbCFZmbb0W6fnfyf1yj7xlxtQGaZzDn3IALAi9K9O8LZs7CSZktMda37YtsNi5SG
o6SgzMPIx2kmqoptSl4zBw7vqSJAOjJeSuEwgqT1zTP3rOFHiwCaNh370jFiVE09BCKSHQVn40Z0
n0hWcIijxt8oJf8OwHwCs8hfEdqOYH94vEyZvcykQEHJW4c5Ls+xJji9UhIvKxVzNOX7fshvqePp
QVsvUitkJSCeh4wDxer4CSXoVqiO661epgcFXqoQXYg7xnmu1bBhv/9JI/InGihh587pt7o57dqu
AX0zwpuw2Fu4vbiOHbHS8/hmL/rGrvH/hE71j3hemHM29NqWGYje6pLRDmwK6p+fam6fCAzGmM54
pc7hT8PDSSAE/qDTxyo4ePPK4HZ0dW1bsXF0bPtOZFqlN8lO2JToXv1ZoK1aQ3KqeWimov5CJ/8H
yeq2nUCR6vxj9dbwVmap0Ehq3vNoGx+F1P4ajX1MfNFf5Lgr6+jRdcc9v/um0XVsyjCFgWYmY4BO
91LDf+ddIzS4ESwuIkN7Bjnjr2dt3HotJhUlyXKr9S0WnTMaFIzOLLjQuBeMwiAyS5QIVl/+FGoZ
+/RIBbz/4e7slhs3mjN8KywfJQdc44cAiNRnV61I6o+iVitq1/aesCARC4AEARI/JMFUqnIbOc5R
DnKWO/Cd5ErygBTWHFCWdsX5Pjsuu7ZKFNUY9Mz09HS//bb+ebTUx0vlQwLf3JLkB53Uofb2U7vV
jVYUeydNdWxPAdAqbbD5C32z7oYbZXUxAQxgu5PZLXUJn6Z6mBLe6ccrkrTtsJicLygUJIoEFdia
y0ELH2+tmAOIb5eAXRfJ5hImC4U0D304ounPo9Ak1ITJPoEg5/O6CYRXn62mHSDtd1ag/Nwi9QLg
ofXODCcc3mTJJz5UppSl+PSPKNZnUMKcxF4H/Mw7X5/SaPtzbJ3Dix2cqsn0gX6NpJQXOVCKjZX0
7MxYkADkgk0b4TI47neKVIcUfcodOIcopGm2wFdExQdlqvSXYJg3BObPfJuSNA1SFg94N6C6YEzS
q095KCXyTaXZWTXbDwv6U0GgSZ2Zl/EJria0L0MVno75GvahJC9Dui3rdDJb4Z/6PyW0jKU9xOmm
aPsX9LF/F4EwWfK9jjUiS+pBWGDGC3bgxP/Eub9mEW6Ah3BHhw1whTGYQIzWtj9CIpxejXwsuJqo
o9OR3bpRFzgZ9KDtazZNGNrB4t2GUpHTYAUQzqa03mzOu8rSx/zSkUYPLUcx3oNqvZxZ65+KADhf
TOnFSUBqhbz5IoEiG+zHmW8tup43gXTQhJUCODVklFOY/spEGB1r+YhuiVp70qfkOIsmnzGnS9LB
PSNjDUzylX7mtyg1jQLItdKQi71O9XPub7rGCubqERch2PhLHNzyPoW4NqJChmN89GkaUWNhgRHW
aIV0ufS6XP/tXpYxRHNJKcxI/xwqHr0AFsXHZo4SF0DHIRj6YKtr6lvjJCIHFCOwXZxnq+mNFeI2
LkGcrFcFkESPpC2I7q5HWcpVsQ7Prfx8rtpTcgP6STqfQq80zZUeNz0POIT6CxhSSgiDLOtOQzom
+bTi6cej1o0JUihYURWU6fp4NCfCRT3vQFdHzfPVhvoz3ZopXavsmU4YK0vifhsMoTnRxlPyuLnn
nRO1WZ9YRCAvCh3mQvI7l7anGh3d8mkvH8a8kzocTcLrfA5ids7YI7UATJTrn3T6jRf5SutF1JTe
bGj7B2fGhR/pm8twYyi9VgHrHNXXmarczUdejrvur06L9cJZeOnsPABeaC5Y57jV9/qIPgVKidVP
o3ekbBeX9Lh3bIiMqU6Pztq+7VI2//MGutPJRH8oFL04twq4lFTWwWo5bZMC2HRVs3ifaEuowwgR
xAtj2k+N2cXoOlXC9ntttaFfueENDEq7ehS6ht1kHub9+dy4hR86vW2VJD+FlXAcbpaEyVdmeWUG
XIDTeRUb9ByP1FbrtK1GWk9RlaifxPRaa1I4GEVYEmoPZmex0TLO1mUT9Fmzs/HAsGyggzud+2Wt
PM7T2XpBxbfdXm26q3RpdOda0+Y+nfYNLbLOllQx95os9xO9WXpMrcuS0o6+DlofIl/IJih27GQB
mPxMmZ9Bqm+fADyOrlcpdYDpJXqzO82mxu+JhXVw6oDY68vz2cwYYvXJwJPjMFqJchGBXj5pmyrs
edB5TUfkqeIouFzoXMEUAF8nLThAc1/7lDDI3lIhiNtUA7WvNsFZaZupcT0HyzwK5svuBr+RObn2
p+mobwbTj5N0fTmZTQk4zaCEhdiB1hrBXdgmcbiezO5hMjtdL5dn02J2GwBZb/vNczskFpHTNPxd
ewG7ku13ViZbG44pKqntVXEKyRq0wGti2FELfhdz/TkNW4NJAs/2EthgMoqCs9EofL+KobBT2Ae0
ZG+7qje/WrV8HU7q8MLQYyeGHrzTJlJNdR7Jbwv0g5apD9ZIW0GZNSUckp0G6twCGr7Ueuvcgr5x
7n1uT6NhuCFLlpRJdR1Xx1jbH20/uB8ZtMLRVdB19ppdESkT+vvkAUgX7A3tGyAsmzCbMK6TE8c0
TpsqBZTcVZrgaygkPKdhAWRTy4mBoVAGqY5pw9mG0iVRCEqbNHWiAvNq5RXDVSugSsh3bA/M7mY6
g1PT7/k0TDqzcODpkmZ2R6BuM1MFjF+0zcvVlKrxVF0PlHjRhykRdA741JyU8fNNwFoHjd1o0WhZ
bVMvGxHSBKxs6rzXy46ozLK5TZRHeFN3Nuu4aNkbpwBpfUJZfD+m09G1MjHtPrmqpKduTAc3YXle
sPnfcw0ZZnM1/jlrglSaam2S0iXMis43/Rb8MpwmFKM0M8L3zbnCLg+GRtJUbqGlNbHJSTzQlRaE
VLQSodg/AkY6I2xcTFs3kUe8NophDIK95aMx0WMyOUCz5wAYT/xo/a7ZyqNOrKiLczJa6bu51dv1
hg0yiqI8jebYJ61i+n41AhG3sAtrMKI2sve88vSDtm2Wgs9rQfGtay1TrzeI1lnYoHGaYOdaC7Ns
rGP1RnFuX6ZtkvVQ/UD3r8CYs0m6xTwF8jDX7dMIKC0OZnGZTKEo0UnogYXzTqdNn5sYTf062iI4
T5IpDTM8GI2UoHUxmdOcY7ImaKqnANU6eTyfdxcQJr038gUF0+r6zJ61Wn09DmkCvLLIq848+65d
NLtgetvvF/l6cdqGIPuF/muqfdDy2yKAoii6ppWNLM1WbfWAWYSiRQeqSzcvKmpiU72JR35/kjX9
nwzS3sQLPfJ6M3Lyc0pmfk5C312la8BBAdd1JQwWhK4irklNiJF7oKkLbFNUXE+hbqEKyKOqKjfA
phI73LaQ3sAvBlL10qflzDmF8ul73+QfLYX+rRVDMTKlu80VnoWjJ9F9mqx+hpS5JAZMte46WS2o
3SWTk2uTDytbBdOX0cdtlpldW0nzs00Rq3dZUzVPS3hizwPDftLSOVz1uRYPw4k35NbO5Y8gz5Xu
KxBKYfpOAmvuXcJtFXKHgYy/CaPitbk6sRY06VDLP8xXcJnNJ6FyAeifEro5RTzzaQrnHfQ0swyS
o2KUKe+IJ28u1ksDZySOVp0F9+SyNfOS7APMgZvcI0Y9x/mbtbV7eH/tdwYwV5ueCIORX1zOaP5w
vlDp3WzoaxsksPcpbvmfteWyfbpuw5aVhoDsvJLhPdLoX75tyBpOW1MYl5dQvTSbKmV3qnqdKPhi
CQxN8KuU9Urn2z6TCx2C1MKiBcEozwMI/9s36xFkPlAexNe+QQIHMtf7gpZgxalZctD7cOBQb6Be
bf9ZR6Z6NbOV2yK0/F8YHBTlOVZVX30YpXOzuwrhAto2WF/Ey1E/zhxa8lxrIKDOafoVnJHGsR3I
VnHJC+Cq8wQ4wiY91eZszp5nacp9DnVJp7WwBjptWq/JAoGH19J3ZMjb3ZVvXAKnM/rqfAMi20yj
G3+pgfHJW/dWvLJw7MnFFGVCj7D6WC/W6lm2VNbdJexk7zfJA4ypV6zPGU0Los1A07x5z14AFoBO
EKq3eOG/ny2Vn4I4mMLtAr2RX4IWktJ1Jr8HuyVMmYO2Ce5NWZPATPXkbrpZlKST85Q4JOzj0IYs
flEwIdPJ+npR1kJvCqDQ0yZNFAm5nGi+on0wUzjnCzDX3Y0P56Khb9ILGM2im3QJafSciuJuYk0U
LrlLA+Q+BYOj1orUireaUg+wmJ5ujd/3D+t/8dz4ZtemNv3xb/z8EM+LBD8pq/3441084/+/lX/z
5TviX/w4CB4S6AU/Z89+68yNr52Zm9a/JEjm6Y+j6zqZI/xQdqnIive5mxS3bpqH2fO/3b0Hr1kK
uqFxaXYXH4j4qi9t3/Z3BTXc7bjuirn7w3cPcR5l5fi8II6+e/zVxfiH73TO5O8PBG1f5jkBocM7
52Mkm9obej3TOklXDBsmBUX/rhHGkff466ZtvjEVKF444M22QYRh98A9Zf6eDg5G9YSenv/Oc2+w
006pAtXk5DhKB5r+puwUbqvwm5iGSucXUQeqgpIU2yz/U6h81egkygP/RDqw6al7lAoM9Q2tUFVN
YTHQTx7sqqACVXmjg1lRYQPQ2yphfTT059IAdVdHqkC3mWSqCw1YY9uGapj1nWC/UaDQUKA5tVpt
LnV/up3QPlYFLTY7fryqs+PbOrAzBO4ZA+0NYTndNhSlpdFy2FS+QQNfsVm+GM2OH4TjrU0N3HTP
ML/4hcqcHAoQTKZiKd8JXy2N7E74b0b3x4cYAxzxwXaj7/2iPNb2fowfXCd64TuC/d6dVHsSKkuy
HfbjWB71dfgmwsB75RmBkqoPzwM3cZIHv9j+onh86/J4/OG7t5+T4MHZPzyw+9WP1THz+Mp7W+lZ
kVHG07KaWJxPFsZv71ceX98ol0KmSkJp4jE8R0qkDieeu/syVcVo0QD8mGFex0SoG29nbl2xmm60
j5T9Nk+zxAlreuDKdKQihnH+9Jhh+y+vaMfoAyU7tZkzOS9aWtvWWnSuKWmVFDqJi8/If/Ns0v1T
RVj6X05b4dM921DtgG///eNwtutsO2+CqN8xDXuD/n+w9TtO5IyFHVX6jb87DV+5+88S141CJxpX
okoV2pyaxwoeuOvgIa7kfPHxjhU7dHDWGzeYyMRtMOzGIFjkLufb/pM05WAT7M31V2rmQxRk7rgx
zJzMZU3vBr5dYKWXcux7dBCAaXjS8GAgDmz63vh3G2x3TXvOsHecJLi/51yrRrudBII1FOor1WfV
mXEg/6mz6x+zgbdHz19v/7598pw1Xl6qf9xMwP6oql/lZe0tnwNTuj/+v5tjdOL4CaahWtbbpc79
hl1GXOCJRf6VRoBsc5ILu9+QYXSdjYNhSYJ5NcLd1nxu13/lgC+S2n5XJZjCizRx3FAYqypBuYx1
IQjVDvytvXX1lQq4jJNxTQWaBBX085UTZMJodQlir9x7JxIPL1y46jGvX7fvZjUdmBLOrPcEy5Jq
bNsVa0tYBUMnHweNt4lzX/OTn/Uyv3I1DIlbCj6TVsZ9jrUKj65BOeZGbxYkBx6CJkHbP7lp1jhx
omk13lLjmvGc6/2VSvnFnbmCpdRMCRvvLMaNbJy72zjx/pgJTMowmnd5dN+4SEtfVTDIqsIhZdkS
3uDtfd4Y5KmwXh6lS1g0/3rbG/ZuP/a6/9Yop9ZNosbB6rQ0Q2npmg73ja0pdBjQXpzu/dO19yWS
8NSnsi9aZeThL+imhR6hAGENSNjMbyOP7bG/KyQYeVjMUwguBLGqDLku3ZD3x6q1q59efyKd5DRM
HAeVoNKY6RLEdnxnvC/zMBz07S7ErQvtRRg8NOLPjcx3G6BnPOEm29KrR75eH1uhjX/q3nb+uRJW
6kTK3ZJQIU0ZhSkscR/HHnv0uIOlQDC+xnMXya88jr5chbexzahRqb8acKkWGcdex5m7jY9uMhZC
iIYEF6Y7Ce4JyQmL25RwZPS8Yp7tq6FMah07iz2qXLMYExc2znJi44L5KPMhRz8gCbJEFGupEsRm
0JHNRctsSdiId+zwM2dW8z5LHNSxijhz7sVN2JYwfWd+zeIfBpPz34KxX7kFDxeCqsjY2b/+T+Y2
xv/77/9BJUaQCPtOlXFS9d2oENbvEzmGb9fGVXBfdwHUwyzLK+S6aZz5wkkCz/jx64zx1rTQknCy
Dog2e076ULvyyThIBsAHs0xcDoaErTxwQmclWGEywMfrF7E1oRL28YCj9KEWIJdxTRo4OfbXiURD
qco4jgbxprSTxNsrnZZHs2pKWGzXAV63IFWGad9KrSnCMqrHvN5325lLmmSmqZNX4ra6OMy+fbuZ
uMWnFxM9miLhCvKYNDxIIHPPrF7h9RoZupHrOUKIUFMlnCDDMtHjNK7cOBIWnaZKMBfDeHaQnJUR
Lh3mtQgk/U+OV/FdLF5CNF2Chzn89T/jBhC+X/9rm0y7SX797+ghEJPsmi5B10RvAF0KZ7WmS1jV
d060qRs7TUYE9YN3sAtbEhY01+BpEDmNUycVHAGtJcEugREJan4sNVXHL70eYQZgNMIhqJkStPHp
wO/WSsSWe2TW5lMwu3fuV6LFkBEB39nQw/1tSfAyToKkcYf7IhhR4+Ukw1Ohvn9QonaLvvkrhgBJ
yoi2SsL8vo3GMWdZtbpLd0GC47SFGIljVSXs+BM39IJ8tj9YGcm5EwrGAmd71Jy7ycb14iXGUHiK
BDPI4J1a1vYQevbtfhnkJh6QCmG4uoThdt1o5iRCmkdGPuYiQQ0irkeGp95LM4oJBSWAxDzaZHc2
7oNfEytBt7Da1JVQwp6PPWBOnSR2n0pGHSIGv32dnZLCfxDOrhLCe+yQz4J78Ea1BK4tYebOKLqI
UreohlgaNluCa3rmJiSxRbEy9ADgTdSuLcEMQ4uAhyTsClWRIPc8j7A5ghJUGfe1i4cD46DKuK9d
ZE4ojlaVoIVLN6ktMFWT4CZekq8mFCXmwumIUK3k11+Hr5xsWVsNMi4PdMzyYcqsS1aPH/AQZmNn
WhcsQcdXAXY9cyMS3mJOUZVx4bnK1+6M1EviVSrYRmFaEkz8IA7H6ESQa0gwa4M4cuphPwlbhBhl
Jg5WxkXq2iX/mRxCLmTcdwDerxzRVsg4milcrHk9qgxsCPSEWV6LcMGUVi2P15uKW4JQtR0NDdjx
cssdTR5fWBOUYEgQvLWaCZytlaxyz2kybh3DeQ3CqcmAGQ6XTnjvJGNhuJoMFa/csXh4aDIuSUP4
Hze7XScOWcJq+zAtUbKCc0lVR/WY16/iR0RcP4i8cSxeG2Vkzj7iXD2w7jqAeavBbledlKwRhU1l
+DoRF7SMW83QTerxOBmpcFBwbglOGdRAnoYqA+q6q4gaOA/uuH7TgwBChj/XpyB8KWgbKtuW+XIm
+4+LdWnbooxjY1374y83GzV/+x/1HvF7W6Se8KzqN9WHz9V9EP4INrUtXm2a1+9wuH4yp3FbKxOU
El0OG0MnXDqEx6phlnu7rF4++tIL1MUlySOcgoeFjfk3AybO42hcFspVQ9y6nS+XcrxctHONghPH
y4UR0zSnetDrJ/AG3MhMFPvyNf2p1fnMmq24F3bveVwZXwnlqJb7VtLjhhELd4Wi3IPSk2e++4cV
8HoAeAL2kgDPk3C0v8VnuHeCiShYwmX2bQJcXHQkJdyvQLZ7oTN2U79a2tsDXYIiBgXdGUTUiiZj
wH5enzQJ4agTULFusK+CkmTqWLvXIa8Wj8U5kxGAGCZB44qSBMGMyHDw2OBiHkBGdAAj7TX65T/D
t7eVUneWWsLMXZDPidxaTlulXu7o2UOyOHWqDLTDpTMXTYMqoxSGXndesambM8gnjlfDzg+FYE7E
kqq6BBXvErlPyJawMPpU90EoVjMWqox9feWI8GtVBoQeT9+JD7aIIUHLxLooe6itZRkuI9GucbAU
y7JVU8JZh2AHQjHBvqkyUNfXtNkVMvuqJSHqd4OvSCT/qUyU2pYif3rgqqgykkY3sMPQI4hQhOBC
a4qEVTckCOHMMRuVCdo6FqqE1XHnQ8VZiy5qMnyLO2cSHGpak1F3c+cE4AkFVciwRHfgmEq3sG7m
6BZdPev1V5UPm3v3CXXICOt/DNyMe1A1xu3SkGHqLuiTmc8fN+K+dNWAl6364PUqof2qk/pAhHYV
kJXArTdjQT1affD6Jwzn1LGGxVO2RFdLHoCj/ZpBMB4TuOo5aVYJK8e/Yxn4felYiC+0aM/FPYZ0
m4YZMnpCRZAZWZYMVOD2fHAafTDWIWUN6dQpyqDI2BOMDbEiyGAlYIbuAiqumldluei+xizNtmlg
Xn10xJy7+PLTvJrz77uBExdcc4LGe4r1HDFEZ9HsVAYquxtPx3Hje8BuU25/gRiTgEy3ZcjAwfed
PEgCAVWjwuttWiXN3rH3qxunGQbNBwArzTTNK3nbzbh7hoS5H3JBfkKyBFty5cwzv+aN7Ib9ou3+
4+JBFCTtiGuOjQntv0K5c/4uMdi3SX4vOpHVVL5+s0IgExAY3KLnTpzkHpR5JXR7jFU/HPMELw9C
MVoqw28qR0t4V3D1ZOQRytI9iF8IawqiZdxrr52lQ3XHE2eJjOtnxynI+lZmt5q43WFY/fT6aezU
1p6MGqhuPAMALlIPyvA6KrlPl/3KuNLBcFYnTpMBCDhF7INPT3VimCFk+MIBLaMM6By+GSEwqMo4
8S/ZLLVpVGWwlTyqY+AkZaFAvURMRpk4wYQsLauBBOdRlVEZfgOEMYvL5Jbg8dC48fjNOMwafTq7
pFuzfe0uA9FUybgb7DjxrvIHMW6hSTGxAD2CsTPeDv8uvndqRUgy0HLlXXKnnw5rM06fsouaDAQ3
c/ExAFsLgyC3+C23w846HMQhZBTQ0hgsC1KfRyZe8KSxh+3l+AX2YfjsEyQs4RMga7XqbaiDjx95
hwwqocdK0NaJkXHBGDqi76VZElz+3Sbr5QQ8siAXN7GMmtKdfDwlEHehOxNgLoYMaC5hsQzECA8Q
MUs6pOgSLhXsrZ3x359OXbVeTorvO+S9fyiDUQnq+EsmmVmlB7zDL2P//riJ2PEWH3uz+xNm+xOv
DDWIqU0ZoTR61AY1hLkM6NdJ4mzEAkQZRcYdgv2CeywjNNaJw7hO2iIjkNt7wKMXkUhlb4pjI0Y7
/7hk3KnRt8iAUp864bTMSzzlOFn28YM/y4FUCMEGQmnHix0SRSUWLywNVUYFVZkWI1IinKFq2zh+
xDdukldSttE+GYw+H5K8Plj6MlSPeX0Y4COg1g3c2MLEaS/zt/xxx8BTRPPHHgr7b1Pq8u8S7qN9
ET6+oGgZ6dfbPK3loretfY61ReV9S6zXo9fBS+ttX4/f4KU99Wd7RJSPs/EQuk7y4/8BAAD//w==
</cx:binary>
              </cx:geoCache>
            </cx:geography>
          </cx:layoutPr>
          <cx:valueColors>
            <cx:minColor>
              <a:schemeClr val="accent1">
                <a:lumMod val="20000"/>
                <a:lumOff val="80000"/>
              </a:schemeClr>
            </cx:minColor>
            <cx:midColor>
              <a:srgbClr val="CC99FF"/>
            </cx:midColor>
            <cx:maxColor>
              <a:srgbClr val="7030A0"/>
            </cx:maxColor>
          </cx:valueColors>
          <cx:valueColorPositions count="3"/>
        </cx:series>
      </cx:plotAreaRegion>
    </cx:plotArea>
    <cx:legend pos="b" align="ctr" overlay="1"/>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Conclusions!A1"/><Relationship Id="rId3" Type="http://schemas.openxmlformats.org/officeDocument/2006/relationships/image" Target="../media/image3.png"/><Relationship Id="rId7" Type="http://schemas.openxmlformats.org/officeDocument/2006/relationships/image" Target="../media/image6.svg"/><Relationship Id="rId2" Type="http://schemas.openxmlformats.org/officeDocument/2006/relationships/hyperlink" Target="#'Sales Analysis'!A1"/><Relationship Id="rId1" Type="http://schemas.openxmlformats.org/officeDocument/2006/relationships/image" Target="../media/image2.png"/><Relationship Id="rId6" Type="http://schemas.openxmlformats.org/officeDocument/2006/relationships/image" Target="../media/image5.png"/><Relationship Id="rId11" Type="http://schemas.openxmlformats.org/officeDocument/2006/relationships/image" Target="../media/image9.svg"/><Relationship Id="rId5" Type="http://schemas.openxmlformats.org/officeDocument/2006/relationships/hyperlink" Target="#'Profit Analysis'!A1"/><Relationship Id="rId10" Type="http://schemas.openxmlformats.org/officeDocument/2006/relationships/image" Target="../media/image8.svg"/><Relationship Id="rId4" Type="http://schemas.openxmlformats.org/officeDocument/2006/relationships/image" Target="../media/image4.sv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hyperlink" Target="#'Profit Analysis'!A1"/><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12.svg"/><Relationship Id="rId5" Type="http://schemas.openxmlformats.org/officeDocument/2006/relationships/chart" Target="../charts/chart4.xml"/><Relationship Id="rId10" Type="http://schemas.openxmlformats.org/officeDocument/2006/relationships/image" Target="../media/image11.png"/><Relationship Id="rId4" Type="http://schemas.openxmlformats.org/officeDocument/2006/relationships/chart" Target="../charts/chart3.xml"/><Relationship Id="rId9" Type="http://schemas.openxmlformats.org/officeDocument/2006/relationships/hyperlink" Target="#Index!A1"/></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12.sv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chart" Target="../charts/chart8.xml"/><Relationship Id="rId6" Type="http://schemas.openxmlformats.org/officeDocument/2006/relationships/chart" Target="../charts/chart12.xml"/><Relationship Id="rId11" Type="http://schemas.openxmlformats.org/officeDocument/2006/relationships/hyperlink" Target="#Index!A1"/><Relationship Id="rId5" Type="http://schemas.openxmlformats.org/officeDocument/2006/relationships/chart" Target="../charts/chart11.xml"/><Relationship Id="rId10" Type="http://schemas.openxmlformats.org/officeDocument/2006/relationships/hyperlink" Target="#'Sales Analysis'!A1"/><Relationship Id="rId4" Type="http://schemas.openxmlformats.org/officeDocument/2006/relationships/chart" Target="../charts/chart10.xml"/><Relationship Id="rId9" Type="http://schemas.openxmlformats.org/officeDocument/2006/relationships/hyperlink" Target="#Conclusions!A1"/></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svg"/><Relationship Id="rId18" Type="http://schemas.openxmlformats.org/officeDocument/2006/relationships/image" Target="../media/image22.png"/><Relationship Id="rId26" Type="http://schemas.openxmlformats.org/officeDocument/2006/relationships/image" Target="../media/image28.svg"/><Relationship Id="rId3" Type="http://schemas.openxmlformats.org/officeDocument/2006/relationships/hyperlink" Target="#'Profit Analysis'!A1"/><Relationship Id="rId21" Type="http://schemas.openxmlformats.org/officeDocument/2006/relationships/chart" Target="../charts/chart19.xml"/><Relationship Id="rId7" Type="http://schemas.openxmlformats.org/officeDocument/2006/relationships/chart" Target="../charts/chart16.xml"/><Relationship Id="rId12" Type="http://schemas.openxmlformats.org/officeDocument/2006/relationships/image" Target="../media/image18.png"/><Relationship Id="rId17" Type="http://schemas.openxmlformats.org/officeDocument/2006/relationships/image" Target="../media/image21.png"/><Relationship Id="rId25" Type="http://schemas.openxmlformats.org/officeDocument/2006/relationships/image" Target="../media/image27.png"/><Relationship Id="rId2" Type="http://schemas.openxmlformats.org/officeDocument/2006/relationships/image" Target="../media/image2.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chart" Target="../charts/chart15.xml"/><Relationship Id="rId6" Type="http://schemas.openxmlformats.org/officeDocument/2006/relationships/image" Target="../media/image12.svg"/><Relationship Id="rId11" Type="http://schemas.openxmlformats.org/officeDocument/2006/relationships/image" Target="../media/image17.svg"/><Relationship Id="rId24" Type="http://schemas.openxmlformats.org/officeDocument/2006/relationships/image" Target="../media/image26.svg"/><Relationship Id="rId5" Type="http://schemas.openxmlformats.org/officeDocument/2006/relationships/image" Target="../media/image11.png"/><Relationship Id="rId15" Type="http://schemas.openxmlformats.org/officeDocument/2006/relationships/chart" Target="../charts/chart18.xml"/><Relationship Id="rId23" Type="http://schemas.openxmlformats.org/officeDocument/2006/relationships/image" Target="../media/image25.png"/><Relationship Id="rId28" Type="http://schemas.openxmlformats.org/officeDocument/2006/relationships/image" Target="../media/image30.svg"/><Relationship Id="rId10" Type="http://schemas.openxmlformats.org/officeDocument/2006/relationships/image" Target="../media/image16.png"/><Relationship Id="rId19" Type="http://schemas.openxmlformats.org/officeDocument/2006/relationships/image" Target="../media/image23.png"/><Relationship Id="rId4" Type="http://schemas.openxmlformats.org/officeDocument/2006/relationships/hyperlink" Target="#Index!A1"/><Relationship Id="rId9" Type="http://schemas.openxmlformats.org/officeDocument/2006/relationships/image" Target="../media/image15.svg"/><Relationship Id="rId14" Type="http://schemas.openxmlformats.org/officeDocument/2006/relationships/chart" Target="../charts/chart17.xml"/><Relationship Id="rId22" Type="http://schemas.openxmlformats.org/officeDocument/2006/relationships/chart" Target="../charts/chart20.xml"/><Relationship Id="rId27" Type="http://schemas.openxmlformats.org/officeDocument/2006/relationships/image" Target="../media/image29.png"/></Relationships>
</file>

<file path=xl/drawings/_rels/drawing5.xml.rels><?xml version="1.0" encoding="UTF-8" standalone="yes"?>
<Relationships xmlns="http://schemas.openxmlformats.org/package/2006/relationships"><Relationship Id="rId13" Type="http://schemas.openxmlformats.org/officeDocument/2006/relationships/chart" Target="../charts/chart32.xml"/><Relationship Id="rId18" Type="http://schemas.openxmlformats.org/officeDocument/2006/relationships/chart" Target="../charts/chart37.xml"/><Relationship Id="rId26" Type="http://schemas.openxmlformats.org/officeDocument/2006/relationships/chart" Target="../charts/chart45.xml"/><Relationship Id="rId39" Type="http://schemas.openxmlformats.org/officeDocument/2006/relationships/chart" Target="../charts/chart58.xml"/><Relationship Id="rId21" Type="http://schemas.openxmlformats.org/officeDocument/2006/relationships/chart" Target="../charts/chart40.xml"/><Relationship Id="rId34" Type="http://schemas.openxmlformats.org/officeDocument/2006/relationships/chart" Target="../charts/chart53.xml"/><Relationship Id="rId42" Type="http://schemas.openxmlformats.org/officeDocument/2006/relationships/chart" Target="../charts/chart61.xml"/><Relationship Id="rId47" Type="http://schemas.openxmlformats.org/officeDocument/2006/relationships/chart" Target="../charts/chart66.xml"/><Relationship Id="rId7" Type="http://schemas.openxmlformats.org/officeDocument/2006/relationships/chart" Target="../charts/chart27.xml"/><Relationship Id="rId2" Type="http://schemas.openxmlformats.org/officeDocument/2006/relationships/chart" Target="../charts/chart22.xml"/><Relationship Id="rId16" Type="http://schemas.openxmlformats.org/officeDocument/2006/relationships/chart" Target="../charts/chart35.xml"/><Relationship Id="rId29" Type="http://schemas.openxmlformats.org/officeDocument/2006/relationships/chart" Target="../charts/chart48.xml"/><Relationship Id="rId1" Type="http://schemas.openxmlformats.org/officeDocument/2006/relationships/chart" Target="../charts/chart21.xml"/><Relationship Id="rId6" Type="http://schemas.openxmlformats.org/officeDocument/2006/relationships/chart" Target="../charts/chart26.xml"/><Relationship Id="rId11" Type="http://schemas.openxmlformats.org/officeDocument/2006/relationships/chart" Target="../charts/chart30.xml"/><Relationship Id="rId24" Type="http://schemas.openxmlformats.org/officeDocument/2006/relationships/chart" Target="../charts/chart43.xml"/><Relationship Id="rId32" Type="http://schemas.openxmlformats.org/officeDocument/2006/relationships/chart" Target="../charts/chart51.xml"/><Relationship Id="rId37" Type="http://schemas.openxmlformats.org/officeDocument/2006/relationships/chart" Target="../charts/chart56.xml"/><Relationship Id="rId40" Type="http://schemas.openxmlformats.org/officeDocument/2006/relationships/chart" Target="../charts/chart59.xml"/><Relationship Id="rId45" Type="http://schemas.openxmlformats.org/officeDocument/2006/relationships/chart" Target="../charts/chart64.xml"/><Relationship Id="rId5" Type="http://schemas.openxmlformats.org/officeDocument/2006/relationships/chart" Target="../charts/chart25.xml"/><Relationship Id="rId15" Type="http://schemas.openxmlformats.org/officeDocument/2006/relationships/chart" Target="../charts/chart34.xml"/><Relationship Id="rId23" Type="http://schemas.openxmlformats.org/officeDocument/2006/relationships/chart" Target="../charts/chart42.xml"/><Relationship Id="rId28" Type="http://schemas.openxmlformats.org/officeDocument/2006/relationships/chart" Target="../charts/chart47.xml"/><Relationship Id="rId36" Type="http://schemas.openxmlformats.org/officeDocument/2006/relationships/chart" Target="../charts/chart55.xml"/><Relationship Id="rId10" Type="http://schemas.openxmlformats.org/officeDocument/2006/relationships/chart" Target="../charts/chart29.xml"/><Relationship Id="rId19" Type="http://schemas.openxmlformats.org/officeDocument/2006/relationships/chart" Target="../charts/chart38.xml"/><Relationship Id="rId31" Type="http://schemas.openxmlformats.org/officeDocument/2006/relationships/chart" Target="../charts/chart50.xml"/><Relationship Id="rId44" Type="http://schemas.openxmlformats.org/officeDocument/2006/relationships/chart" Target="../charts/chart63.xml"/><Relationship Id="rId4" Type="http://schemas.openxmlformats.org/officeDocument/2006/relationships/chart" Target="../charts/chart24.xml"/><Relationship Id="rId9" Type="http://schemas.microsoft.com/office/2014/relationships/chartEx" Target="../charts/chartEx1.xml"/><Relationship Id="rId14" Type="http://schemas.openxmlformats.org/officeDocument/2006/relationships/chart" Target="../charts/chart33.xml"/><Relationship Id="rId22" Type="http://schemas.openxmlformats.org/officeDocument/2006/relationships/chart" Target="../charts/chart41.xml"/><Relationship Id="rId27" Type="http://schemas.openxmlformats.org/officeDocument/2006/relationships/chart" Target="../charts/chart46.xml"/><Relationship Id="rId30" Type="http://schemas.openxmlformats.org/officeDocument/2006/relationships/chart" Target="../charts/chart49.xml"/><Relationship Id="rId35" Type="http://schemas.openxmlformats.org/officeDocument/2006/relationships/chart" Target="../charts/chart54.xml"/><Relationship Id="rId43" Type="http://schemas.openxmlformats.org/officeDocument/2006/relationships/chart" Target="../charts/chart62.xml"/><Relationship Id="rId8" Type="http://schemas.openxmlformats.org/officeDocument/2006/relationships/chart" Target="../charts/chart28.xml"/><Relationship Id="rId3" Type="http://schemas.openxmlformats.org/officeDocument/2006/relationships/chart" Target="../charts/chart23.xml"/><Relationship Id="rId12" Type="http://schemas.openxmlformats.org/officeDocument/2006/relationships/chart" Target="../charts/chart31.xml"/><Relationship Id="rId17" Type="http://schemas.openxmlformats.org/officeDocument/2006/relationships/chart" Target="../charts/chart36.xml"/><Relationship Id="rId25" Type="http://schemas.openxmlformats.org/officeDocument/2006/relationships/chart" Target="../charts/chart44.xml"/><Relationship Id="rId33" Type="http://schemas.openxmlformats.org/officeDocument/2006/relationships/chart" Target="../charts/chart52.xml"/><Relationship Id="rId38" Type="http://schemas.openxmlformats.org/officeDocument/2006/relationships/chart" Target="../charts/chart57.xml"/><Relationship Id="rId46" Type="http://schemas.openxmlformats.org/officeDocument/2006/relationships/chart" Target="../charts/chart65.xml"/><Relationship Id="rId20" Type="http://schemas.openxmlformats.org/officeDocument/2006/relationships/chart" Target="../charts/chart39.xml"/><Relationship Id="rId41" Type="http://schemas.openxmlformats.org/officeDocument/2006/relationships/chart" Target="../charts/chart6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8.xml"/></Relationships>
</file>

<file path=xl/drawings/drawing1.xml><?xml version="1.0" encoding="utf-8"?>
<xdr:wsDr xmlns:xdr="http://schemas.openxmlformats.org/drawingml/2006/spreadsheetDrawing" xmlns:a="http://schemas.openxmlformats.org/drawingml/2006/main">
  <xdr:twoCellAnchor>
    <xdr:from>
      <xdr:col>0</xdr:col>
      <xdr:colOff>9524</xdr:colOff>
      <xdr:row>0</xdr:row>
      <xdr:rowOff>0</xdr:rowOff>
    </xdr:from>
    <xdr:to>
      <xdr:col>19</xdr:col>
      <xdr:colOff>379124</xdr:colOff>
      <xdr:row>2</xdr:row>
      <xdr:rowOff>57150</xdr:rowOff>
    </xdr:to>
    <xdr:sp macro="" textlink="">
      <xdr:nvSpPr>
        <xdr:cNvPr id="3" name="Rectangle 2">
          <a:extLst>
            <a:ext uri="{FF2B5EF4-FFF2-40B4-BE49-F238E27FC236}">
              <a16:creationId xmlns:a16="http://schemas.microsoft.com/office/drawing/2014/main" id="{6EF26974-A141-48C7-B722-464335D27B57}"/>
            </a:ext>
          </a:extLst>
        </xdr:cNvPr>
        <xdr:cNvSpPr/>
      </xdr:nvSpPr>
      <xdr:spPr>
        <a:xfrm>
          <a:off x="9524" y="0"/>
          <a:ext cx="11952000" cy="381000"/>
        </a:xfrm>
        <a:prstGeom prst="rect">
          <a:avLst/>
        </a:prstGeom>
        <a:gradFill>
          <a:gsLst>
            <a:gs pos="0">
              <a:schemeClr val="tx1"/>
            </a:gs>
            <a:gs pos="100000">
              <a:srgbClr val="800080"/>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t>Data Analytics &amp; Visualization on MS Excel</a:t>
          </a:r>
        </a:p>
        <a:p>
          <a:pPr algn="ctr"/>
          <a:endParaRPr lang="en-IN" sz="2800"/>
        </a:p>
      </xdr:txBody>
    </xdr:sp>
    <xdr:clientData/>
  </xdr:twoCellAnchor>
  <xdr:twoCellAnchor editAs="oneCell">
    <xdr:from>
      <xdr:col>0</xdr:col>
      <xdr:colOff>66675</xdr:colOff>
      <xdr:row>0</xdr:row>
      <xdr:rowOff>57150</xdr:rowOff>
    </xdr:from>
    <xdr:to>
      <xdr:col>0</xdr:col>
      <xdr:colOff>342900</xdr:colOff>
      <xdr:row>2</xdr:row>
      <xdr:rowOff>9525</xdr:rowOff>
    </xdr:to>
    <xdr:pic>
      <xdr:nvPicPr>
        <xdr:cNvPr id="4" name="Picture 3">
          <a:extLst>
            <a:ext uri="{FF2B5EF4-FFF2-40B4-BE49-F238E27FC236}">
              <a16:creationId xmlns:a16="http://schemas.microsoft.com/office/drawing/2014/main" id="{929FD61E-149F-4B62-8A9D-1E7BF1525D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0"/>
          <a:ext cx="276225" cy="276225"/>
        </a:xfrm>
        <a:prstGeom prst="rect">
          <a:avLst/>
        </a:prstGeom>
      </xdr:spPr>
    </xdr:pic>
    <xdr:clientData/>
  </xdr:twoCellAnchor>
  <xdr:twoCellAnchor>
    <xdr:from>
      <xdr:col>18</xdr:col>
      <xdr:colOff>238125</xdr:colOff>
      <xdr:row>0</xdr:row>
      <xdr:rowOff>38100</xdr:rowOff>
    </xdr:from>
    <xdr:to>
      <xdr:col>18</xdr:col>
      <xdr:colOff>523875</xdr:colOff>
      <xdr:row>2</xdr:row>
      <xdr:rowOff>28575</xdr:rowOff>
    </xdr:to>
    <xdr:sp macro="" textlink="">
      <xdr:nvSpPr>
        <xdr:cNvPr id="7" name="Arrow: Right 6">
          <a:hlinkClick xmlns:r="http://schemas.openxmlformats.org/officeDocument/2006/relationships" r:id="rId2"/>
          <a:extLst>
            <a:ext uri="{FF2B5EF4-FFF2-40B4-BE49-F238E27FC236}">
              <a16:creationId xmlns:a16="http://schemas.microsoft.com/office/drawing/2014/main" id="{DBF92D89-0675-49CB-AC96-F7D7E234DCD4}"/>
            </a:ext>
          </a:extLst>
        </xdr:cNvPr>
        <xdr:cNvSpPr/>
      </xdr:nvSpPr>
      <xdr:spPr>
        <a:xfrm>
          <a:off x="11210925" y="38100"/>
          <a:ext cx="285750" cy="314325"/>
        </a:xfrm>
        <a:prstGeom prst="rightArrow">
          <a:avLst/>
        </a:prstGeom>
        <a:solidFill>
          <a:schemeClr val="bg1">
            <a:alpha val="2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171447</xdr:colOff>
      <xdr:row>2</xdr:row>
      <xdr:rowOff>152400</xdr:rowOff>
    </xdr:from>
    <xdr:to>
      <xdr:col>19</xdr:col>
      <xdr:colOff>342900</xdr:colOff>
      <xdr:row>29</xdr:row>
      <xdr:rowOff>57575</xdr:rowOff>
    </xdr:to>
    <xdr:sp macro="" textlink="">
      <xdr:nvSpPr>
        <xdr:cNvPr id="28" name="Freeform: Shape 27">
          <a:extLst>
            <a:ext uri="{FF2B5EF4-FFF2-40B4-BE49-F238E27FC236}">
              <a16:creationId xmlns:a16="http://schemas.microsoft.com/office/drawing/2014/main" id="{149EB483-A14F-41DE-9AE7-C166265A636B}"/>
            </a:ext>
          </a:extLst>
        </xdr:cNvPr>
        <xdr:cNvSpPr/>
      </xdr:nvSpPr>
      <xdr:spPr>
        <a:xfrm rot="10800000">
          <a:off x="171447" y="476250"/>
          <a:ext cx="11753853" cy="4277150"/>
        </a:xfrm>
        <a:custGeom>
          <a:avLst/>
          <a:gdLst>
            <a:gd name="connsiteX0" fmla="*/ 5696249 w 10202779"/>
            <a:gd name="connsiteY0" fmla="*/ 0 h 5524926"/>
            <a:gd name="connsiteX1" fmla="*/ 10202779 w 10202779"/>
            <a:gd name="connsiteY1" fmla="*/ 0 h 5524926"/>
            <a:gd name="connsiteX2" fmla="*/ 10202779 w 10202779"/>
            <a:gd name="connsiteY2" fmla="*/ 5524926 h 5524926"/>
            <a:gd name="connsiteX3" fmla="*/ 0 w 10202779"/>
            <a:gd name="connsiteY3" fmla="*/ 5524926 h 5524926"/>
            <a:gd name="connsiteX4" fmla="*/ 0 w 10202779"/>
            <a:gd name="connsiteY4" fmla="*/ 3003793 h 5524926"/>
            <a:gd name="connsiteX5" fmla="*/ 5560586 w 10202779"/>
            <a:gd name="connsiteY5" fmla="*/ 3003793 h 5524926"/>
            <a:gd name="connsiteX6" fmla="*/ 5560586 w 10202779"/>
            <a:gd name="connsiteY6" fmla="*/ 5508000 h 5524926"/>
            <a:gd name="connsiteX7" fmla="*/ 5696249 w 10202779"/>
            <a:gd name="connsiteY7" fmla="*/ 5508000 h 5524926"/>
            <a:gd name="connsiteX8" fmla="*/ 0 w 10202779"/>
            <a:gd name="connsiteY8" fmla="*/ 0 h 5524926"/>
            <a:gd name="connsiteX9" fmla="*/ 5560586 w 10202779"/>
            <a:gd name="connsiteY9" fmla="*/ 0 h 5524926"/>
            <a:gd name="connsiteX10" fmla="*/ 5560586 w 10202779"/>
            <a:gd name="connsiteY10" fmla="*/ 2868130 h 5524926"/>
            <a:gd name="connsiteX11" fmla="*/ 0 w 10202779"/>
            <a:gd name="connsiteY11" fmla="*/ 2868130 h 55249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0202779" h="5524926">
              <a:moveTo>
                <a:pt x="5696249" y="0"/>
              </a:moveTo>
              <a:lnTo>
                <a:pt x="10202779" y="0"/>
              </a:lnTo>
              <a:lnTo>
                <a:pt x="10202779" y="5524926"/>
              </a:lnTo>
              <a:lnTo>
                <a:pt x="0" y="5524926"/>
              </a:lnTo>
              <a:lnTo>
                <a:pt x="0" y="3003793"/>
              </a:lnTo>
              <a:lnTo>
                <a:pt x="5560586" y="3003793"/>
              </a:lnTo>
              <a:lnTo>
                <a:pt x="5560586" y="5508000"/>
              </a:lnTo>
              <a:lnTo>
                <a:pt x="5696249" y="5508000"/>
              </a:lnTo>
              <a:close/>
              <a:moveTo>
                <a:pt x="0" y="0"/>
              </a:moveTo>
              <a:lnTo>
                <a:pt x="5560586" y="0"/>
              </a:lnTo>
              <a:lnTo>
                <a:pt x="5560586" y="2868130"/>
              </a:lnTo>
              <a:lnTo>
                <a:pt x="0" y="2868130"/>
              </a:lnTo>
              <a:close/>
            </a:path>
          </a:pathLst>
        </a:custGeom>
        <a:gradFill flip="none" rotWithShape="1">
          <a:gsLst>
            <a:gs pos="0">
              <a:sysClr val="windowText" lastClr="000000"/>
            </a:gs>
            <a:gs pos="100000">
              <a:srgbClr val="820082"/>
            </a:gs>
          </a:gsLst>
          <a:lin ang="0" scaled="1"/>
          <a:tileRect/>
        </a:gradFill>
        <a:ln w="12700" cap="flat" cmpd="sng" algn="ctr">
          <a:noFill/>
          <a:prstDash val="solid"/>
          <a:miter lim="800000"/>
        </a:ln>
        <a:effectLst/>
      </xdr:spPr>
      <xdr:txBody>
        <a:bodyPr wrap="square" rtlCol="0" anchor="ctr">
          <a:noAutofit/>
        </a:bodyP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en-IN" sz="1800" b="0" i="0" u="none" strike="noStrike" kern="120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9</xdr:col>
      <xdr:colOff>134625</xdr:colOff>
      <xdr:row>4</xdr:row>
      <xdr:rowOff>38099</xdr:rowOff>
    </xdr:from>
    <xdr:to>
      <xdr:col>19</xdr:col>
      <xdr:colOff>266625</xdr:colOff>
      <xdr:row>7</xdr:row>
      <xdr:rowOff>92324</xdr:rowOff>
    </xdr:to>
    <xdr:grpSp>
      <xdr:nvGrpSpPr>
        <xdr:cNvPr id="53" name="Group 52">
          <a:hlinkClick xmlns:r="http://schemas.openxmlformats.org/officeDocument/2006/relationships" r:id="rId2"/>
          <a:extLst>
            <a:ext uri="{FF2B5EF4-FFF2-40B4-BE49-F238E27FC236}">
              <a16:creationId xmlns:a16="http://schemas.microsoft.com/office/drawing/2014/main" id="{045C3949-B1E6-4F65-9B89-0205185112C6}"/>
            </a:ext>
          </a:extLst>
        </xdr:cNvPr>
        <xdr:cNvGrpSpPr/>
      </xdr:nvGrpSpPr>
      <xdr:grpSpPr>
        <a:xfrm>
          <a:off x="5621025" y="685799"/>
          <a:ext cx="6228000" cy="540000"/>
          <a:chOff x="2638425" y="838199"/>
          <a:chExt cx="7194374" cy="549527"/>
        </a:xfrm>
      </xdr:grpSpPr>
      <xdr:grpSp>
        <xdr:nvGrpSpPr>
          <xdr:cNvPr id="48" name="Group 47">
            <a:extLst>
              <a:ext uri="{FF2B5EF4-FFF2-40B4-BE49-F238E27FC236}">
                <a16:creationId xmlns:a16="http://schemas.microsoft.com/office/drawing/2014/main" id="{EE139454-6C8A-497D-88DB-E9E2D4749995}"/>
              </a:ext>
            </a:extLst>
          </xdr:cNvPr>
          <xdr:cNvGrpSpPr/>
        </xdr:nvGrpSpPr>
        <xdr:grpSpPr>
          <a:xfrm>
            <a:off x="2638425" y="847726"/>
            <a:ext cx="7194374" cy="540000"/>
            <a:chOff x="2638425" y="847726"/>
            <a:chExt cx="7194374" cy="540000"/>
          </a:xfrm>
        </xdr:grpSpPr>
        <xdr:sp macro="" textlink="">
          <xdr:nvSpPr>
            <xdr:cNvPr id="6" name="Rectangle 5">
              <a:extLst>
                <a:ext uri="{FF2B5EF4-FFF2-40B4-BE49-F238E27FC236}">
                  <a16:creationId xmlns:a16="http://schemas.microsoft.com/office/drawing/2014/main" id="{58536DB8-31C2-4BD9-8B0A-76972F428FCB}"/>
                </a:ext>
              </a:extLst>
            </xdr:cNvPr>
            <xdr:cNvSpPr/>
          </xdr:nvSpPr>
          <xdr:spPr>
            <a:xfrm>
              <a:off x="3352799" y="847726"/>
              <a:ext cx="6480000" cy="540000"/>
            </a:xfrm>
            <a:prstGeom prst="rect">
              <a:avLst/>
            </a:prstGeom>
            <a:solidFill>
              <a:schemeClr val="bg1">
                <a:alpha val="21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t>Sales Analysis</a:t>
              </a:r>
            </a:p>
          </xdr:txBody>
        </xdr:sp>
        <xdr:sp macro="" textlink="">
          <xdr:nvSpPr>
            <xdr:cNvPr id="41" name="Rectangle 40">
              <a:extLst>
                <a:ext uri="{FF2B5EF4-FFF2-40B4-BE49-F238E27FC236}">
                  <a16:creationId xmlns:a16="http://schemas.microsoft.com/office/drawing/2014/main" id="{330BF360-E897-4BD0-916D-CD318A379338}"/>
                </a:ext>
              </a:extLst>
            </xdr:cNvPr>
            <xdr:cNvSpPr/>
          </xdr:nvSpPr>
          <xdr:spPr>
            <a:xfrm>
              <a:off x="2638425" y="847726"/>
              <a:ext cx="540000" cy="540000"/>
            </a:xfrm>
            <a:prstGeom prst="rect">
              <a:avLst/>
            </a:prstGeom>
            <a:solidFill>
              <a:sysClr val="window" lastClr="FFFFFF">
                <a:alpha val="21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20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sp macro="" textlink="">
        <xdr:nvSpPr>
          <xdr:cNvPr id="50" name="Isosceles Triangle 49">
            <a:extLst>
              <a:ext uri="{FF2B5EF4-FFF2-40B4-BE49-F238E27FC236}">
                <a16:creationId xmlns:a16="http://schemas.microsoft.com/office/drawing/2014/main" id="{9E5749A5-A28E-47E2-B77C-5D84761FC693}"/>
              </a:ext>
            </a:extLst>
          </xdr:cNvPr>
          <xdr:cNvSpPr/>
        </xdr:nvSpPr>
        <xdr:spPr>
          <a:xfrm rot="5400000" flipH="1">
            <a:off x="9277350" y="838199"/>
            <a:ext cx="540000" cy="540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9</xdr:col>
      <xdr:colOff>114300</xdr:colOff>
      <xdr:row>4</xdr:row>
      <xdr:rowOff>57150</xdr:rowOff>
    </xdr:from>
    <xdr:to>
      <xdr:col>10</xdr:col>
      <xdr:colOff>44700</xdr:colOff>
      <xdr:row>7</xdr:row>
      <xdr:rowOff>111375</xdr:rowOff>
    </xdr:to>
    <xdr:pic>
      <xdr:nvPicPr>
        <xdr:cNvPr id="33" name="Graphic 4" descr="Statistics">
          <a:extLst>
            <a:ext uri="{FF2B5EF4-FFF2-40B4-BE49-F238E27FC236}">
              <a16:creationId xmlns:a16="http://schemas.microsoft.com/office/drawing/2014/main" id="{A44D304A-5C23-4381-80F1-3E4C069199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600700" y="704850"/>
          <a:ext cx="540000" cy="540000"/>
        </a:xfrm>
        <a:prstGeom prst="rect">
          <a:avLst/>
        </a:prstGeom>
      </xdr:spPr>
    </xdr:pic>
    <xdr:clientData/>
  </xdr:twoCellAnchor>
  <xdr:twoCellAnchor>
    <xdr:from>
      <xdr:col>9</xdr:col>
      <xdr:colOff>133350</xdr:colOff>
      <xdr:row>7</xdr:row>
      <xdr:rowOff>138112</xdr:rowOff>
    </xdr:from>
    <xdr:to>
      <xdr:col>19</xdr:col>
      <xdr:colOff>265350</xdr:colOff>
      <xdr:row>11</xdr:row>
      <xdr:rowOff>30412</xdr:rowOff>
    </xdr:to>
    <xdr:grpSp>
      <xdr:nvGrpSpPr>
        <xdr:cNvPr id="54" name="Group 53">
          <a:hlinkClick xmlns:r="http://schemas.openxmlformats.org/officeDocument/2006/relationships" r:id="rId5"/>
          <a:extLst>
            <a:ext uri="{FF2B5EF4-FFF2-40B4-BE49-F238E27FC236}">
              <a16:creationId xmlns:a16="http://schemas.microsoft.com/office/drawing/2014/main" id="{69ED52E2-BA91-4977-907E-CAAA2D7B4851}"/>
            </a:ext>
          </a:extLst>
        </xdr:cNvPr>
        <xdr:cNvGrpSpPr/>
      </xdr:nvGrpSpPr>
      <xdr:grpSpPr>
        <a:xfrm>
          <a:off x="5619750" y="1271587"/>
          <a:ext cx="6228000" cy="540000"/>
          <a:chOff x="2638425" y="1876426"/>
          <a:chExt cx="7194374" cy="549525"/>
        </a:xfrm>
      </xdr:grpSpPr>
      <xdr:grpSp>
        <xdr:nvGrpSpPr>
          <xdr:cNvPr id="49" name="Group 48">
            <a:extLst>
              <a:ext uri="{FF2B5EF4-FFF2-40B4-BE49-F238E27FC236}">
                <a16:creationId xmlns:a16="http://schemas.microsoft.com/office/drawing/2014/main" id="{17E010C5-7C88-40D0-A374-502EC78AC187}"/>
              </a:ext>
            </a:extLst>
          </xdr:cNvPr>
          <xdr:cNvGrpSpPr/>
        </xdr:nvGrpSpPr>
        <xdr:grpSpPr>
          <a:xfrm>
            <a:off x="2638425" y="1876426"/>
            <a:ext cx="7194374" cy="549525"/>
            <a:chOff x="2638425" y="1876426"/>
            <a:chExt cx="7194374" cy="549525"/>
          </a:xfrm>
        </xdr:grpSpPr>
        <xdr:sp macro="" textlink="">
          <xdr:nvSpPr>
            <xdr:cNvPr id="34" name="Rectangle 33">
              <a:extLst>
                <a:ext uri="{FF2B5EF4-FFF2-40B4-BE49-F238E27FC236}">
                  <a16:creationId xmlns:a16="http://schemas.microsoft.com/office/drawing/2014/main" id="{D2F8A120-DCF9-489C-8B41-38A350ED8172}"/>
                </a:ext>
              </a:extLst>
            </xdr:cNvPr>
            <xdr:cNvSpPr/>
          </xdr:nvSpPr>
          <xdr:spPr>
            <a:xfrm>
              <a:off x="3352799" y="1885951"/>
              <a:ext cx="6480000" cy="540000"/>
            </a:xfrm>
            <a:prstGeom prst="rect">
              <a:avLst/>
            </a:prstGeom>
            <a:solidFill>
              <a:schemeClr val="bg1">
                <a:alpha val="21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t>Profit Analysis</a:t>
              </a:r>
            </a:p>
          </xdr:txBody>
        </xdr:sp>
        <xdr:sp macro="" textlink="">
          <xdr:nvSpPr>
            <xdr:cNvPr id="43" name="Rectangle 42">
              <a:extLst>
                <a:ext uri="{FF2B5EF4-FFF2-40B4-BE49-F238E27FC236}">
                  <a16:creationId xmlns:a16="http://schemas.microsoft.com/office/drawing/2014/main" id="{D966C7A8-C11A-43AB-AB28-F309E0DDCDE4}"/>
                </a:ext>
              </a:extLst>
            </xdr:cNvPr>
            <xdr:cNvSpPr/>
          </xdr:nvSpPr>
          <xdr:spPr>
            <a:xfrm>
              <a:off x="2638425" y="1876426"/>
              <a:ext cx="540000" cy="540000"/>
            </a:xfrm>
            <a:prstGeom prst="rect">
              <a:avLst/>
            </a:prstGeom>
            <a:solidFill>
              <a:sysClr val="window" lastClr="FFFFFF">
                <a:alpha val="21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20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sp macro="" textlink="">
        <xdr:nvSpPr>
          <xdr:cNvPr id="52" name="Isosceles Triangle 51">
            <a:extLst>
              <a:ext uri="{FF2B5EF4-FFF2-40B4-BE49-F238E27FC236}">
                <a16:creationId xmlns:a16="http://schemas.microsoft.com/office/drawing/2014/main" id="{515C206A-885B-4BDC-9ECF-5B5A4443D278}"/>
              </a:ext>
            </a:extLst>
          </xdr:cNvPr>
          <xdr:cNvSpPr/>
        </xdr:nvSpPr>
        <xdr:spPr>
          <a:xfrm rot="5400000" flipH="1">
            <a:off x="9277350" y="1885949"/>
            <a:ext cx="540000" cy="540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9</xdr:col>
      <xdr:colOff>57150</xdr:colOff>
      <xdr:row>7</xdr:row>
      <xdr:rowOff>142876</xdr:rowOff>
    </xdr:from>
    <xdr:to>
      <xdr:col>9</xdr:col>
      <xdr:colOff>597150</xdr:colOff>
      <xdr:row>11</xdr:row>
      <xdr:rowOff>35176</xdr:rowOff>
    </xdr:to>
    <xdr:pic>
      <xdr:nvPicPr>
        <xdr:cNvPr id="9" name="Graphic 8" descr="Dollar">
          <a:extLst>
            <a:ext uri="{FF2B5EF4-FFF2-40B4-BE49-F238E27FC236}">
              <a16:creationId xmlns:a16="http://schemas.microsoft.com/office/drawing/2014/main" id="{C273862D-E9D7-4CBA-9B0B-2E19878FBD8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543550" y="1276351"/>
          <a:ext cx="540000" cy="540000"/>
        </a:xfrm>
        <a:prstGeom prst="rect">
          <a:avLst/>
        </a:prstGeom>
      </xdr:spPr>
    </xdr:pic>
    <xdr:clientData/>
  </xdr:twoCellAnchor>
  <xdr:twoCellAnchor>
    <xdr:from>
      <xdr:col>9</xdr:col>
      <xdr:colOff>133350</xdr:colOff>
      <xdr:row>11</xdr:row>
      <xdr:rowOff>76199</xdr:rowOff>
    </xdr:from>
    <xdr:to>
      <xdr:col>19</xdr:col>
      <xdr:colOff>265350</xdr:colOff>
      <xdr:row>14</xdr:row>
      <xdr:rowOff>130424</xdr:rowOff>
    </xdr:to>
    <xdr:grpSp>
      <xdr:nvGrpSpPr>
        <xdr:cNvPr id="55" name="Group 54">
          <a:hlinkClick xmlns:r="http://schemas.openxmlformats.org/officeDocument/2006/relationships" r:id="rId8"/>
          <a:extLst>
            <a:ext uri="{FF2B5EF4-FFF2-40B4-BE49-F238E27FC236}">
              <a16:creationId xmlns:a16="http://schemas.microsoft.com/office/drawing/2014/main" id="{09F90473-DD34-48E8-8D2C-93382BE0904B}"/>
            </a:ext>
          </a:extLst>
        </xdr:cNvPr>
        <xdr:cNvGrpSpPr/>
      </xdr:nvGrpSpPr>
      <xdr:grpSpPr>
        <a:xfrm>
          <a:off x="5619750" y="1857374"/>
          <a:ext cx="6228000" cy="540000"/>
          <a:chOff x="2628899" y="2914649"/>
          <a:chExt cx="7207501" cy="571015"/>
        </a:xfrm>
      </xdr:grpSpPr>
      <xdr:grpSp>
        <xdr:nvGrpSpPr>
          <xdr:cNvPr id="46" name="Group 45">
            <a:extLst>
              <a:ext uri="{FF2B5EF4-FFF2-40B4-BE49-F238E27FC236}">
                <a16:creationId xmlns:a16="http://schemas.microsoft.com/office/drawing/2014/main" id="{0B8BC830-ADC9-4E66-8DA9-3ABC0D7D35AE}"/>
              </a:ext>
            </a:extLst>
          </xdr:cNvPr>
          <xdr:cNvGrpSpPr/>
        </xdr:nvGrpSpPr>
        <xdr:grpSpPr>
          <a:xfrm>
            <a:off x="2628899" y="2924176"/>
            <a:ext cx="7203900" cy="561488"/>
            <a:chOff x="2628899" y="2924176"/>
            <a:chExt cx="7203900" cy="561488"/>
          </a:xfrm>
        </xdr:grpSpPr>
        <xdr:sp macro="" textlink="">
          <xdr:nvSpPr>
            <xdr:cNvPr id="35" name="Rectangle 34">
              <a:extLst>
                <a:ext uri="{FF2B5EF4-FFF2-40B4-BE49-F238E27FC236}">
                  <a16:creationId xmlns:a16="http://schemas.microsoft.com/office/drawing/2014/main" id="{7D9454F2-FD20-4AB0-AC15-C2D92272B896}"/>
                </a:ext>
              </a:extLst>
            </xdr:cNvPr>
            <xdr:cNvSpPr/>
          </xdr:nvSpPr>
          <xdr:spPr>
            <a:xfrm>
              <a:off x="3352799" y="2924176"/>
              <a:ext cx="6480000" cy="540000"/>
            </a:xfrm>
            <a:prstGeom prst="rect">
              <a:avLst/>
            </a:prstGeom>
            <a:solidFill>
              <a:schemeClr val="bg1">
                <a:alpha val="21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t>Conclusions</a:t>
              </a:r>
            </a:p>
          </xdr:txBody>
        </xdr:sp>
        <xdr:sp macro="" textlink="">
          <xdr:nvSpPr>
            <xdr:cNvPr id="44" name="Rectangle 43">
              <a:extLst>
                <a:ext uri="{FF2B5EF4-FFF2-40B4-BE49-F238E27FC236}">
                  <a16:creationId xmlns:a16="http://schemas.microsoft.com/office/drawing/2014/main" id="{B13CFA16-0602-4285-A7B8-4CBA815DC67D}"/>
                </a:ext>
              </a:extLst>
            </xdr:cNvPr>
            <xdr:cNvSpPr/>
          </xdr:nvSpPr>
          <xdr:spPr>
            <a:xfrm>
              <a:off x="2638425" y="2924176"/>
              <a:ext cx="540000" cy="540000"/>
            </a:xfrm>
            <a:prstGeom prst="rect">
              <a:avLst/>
            </a:prstGeom>
            <a:solidFill>
              <a:sysClr val="window" lastClr="FFFFFF">
                <a:alpha val="21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20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nvGrpSpPr>
            <xdr:cNvPr id="40" name="Group 39">
              <a:extLst>
                <a:ext uri="{FF2B5EF4-FFF2-40B4-BE49-F238E27FC236}">
                  <a16:creationId xmlns:a16="http://schemas.microsoft.com/office/drawing/2014/main" id="{512179BF-0CDF-4758-8917-EA6C583275B9}"/>
                </a:ext>
              </a:extLst>
            </xdr:cNvPr>
            <xdr:cNvGrpSpPr/>
          </xdr:nvGrpSpPr>
          <xdr:grpSpPr>
            <a:xfrm>
              <a:off x="2628899" y="2934193"/>
              <a:ext cx="540001" cy="551471"/>
              <a:chOff x="2590799" y="3088005"/>
              <a:chExt cx="514351" cy="415288"/>
            </a:xfrm>
          </xdr:grpSpPr>
          <xdr:pic>
            <xdr:nvPicPr>
              <xdr:cNvPr id="38" name="Graphic 37" descr="Thumbs up sign">
                <a:extLst>
                  <a:ext uri="{FF2B5EF4-FFF2-40B4-BE49-F238E27FC236}">
                    <a16:creationId xmlns:a16="http://schemas.microsoft.com/office/drawing/2014/main" id="{3E7599EF-61FF-4EEB-9818-F0FB4653D8D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590799" y="3228973"/>
                <a:ext cx="274320" cy="274320"/>
              </a:xfrm>
              <a:prstGeom prst="rect">
                <a:avLst/>
              </a:prstGeom>
            </xdr:spPr>
          </xdr:pic>
          <xdr:pic>
            <xdr:nvPicPr>
              <xdr:cNvPr id="39" name="Graphic 38" descr="Thumbs up sign">
                <a:extLst>
                  <a:ext uri="{FF2B5EF4-FFF2-40B4-BE49-F238E27FC236}">
                    <a16:creationId xmlns:a16="http://schemas.microsoft.com/office/drawing/2014/main" id="{C63B898B-5CFA-4454-8D85-81C0585EB5A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0800000">
                <a:off x="2830830" y="3088005"/>
                <a:ext cx="274320" cy="274319"/>
              </a:xfrm>
              <a:prstGeom prst="rect">
                <a:avLst/>
              </a:prstGeom>
            </xdr:spPr>
          </xdr:pic>
        </xdr:grpSp>
      </xdr:grpSp>
      <xdr:sp macro="" textlink="">
        <xdr:nvSpPr>
          <xdr:cNvPr id="51" name="Isosceles Triangle 50">
            <a:extLst>
              <a:ext uri="{FF2B5EF4-FFF2-40B4-BE49-F238E27FC236}">
                <a16:creationId xmlns:a16="http://schemas.microsoft.com/office/drawing/2014/main" id="{47D756E6-FB9E-43C2-BFE6-FA3D389B00CD}"/>
              </a:ext>
            </a:extLst>
          </xdr:cNvPr>
          <xdr:cNvSpPr/>
        </xdr:nvSpPr>
        <xdr:spPr>
          <a:xfrm rot="5400000" flipH="1">
            <a:off x="9296400" y="2914649"/>
            <a:ext cx="540000" cy="540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152400</xdr:colOff>
      <xdr:row>3</xdr:row>
      <xdr:rowOff>123825</xdr:rowOff>
    </xdr:from>
    <xdr:to>
      <xdr:col>8</xdr:col>
      <xdr:colOff>447675</xdr:colOff>
      <xdr:row>13</xdr:row>
      <xdr:rowOff>142874</xdr:rowOff>
    </xdr:to>
    <xdr:sp macro="" textlink="">
      <xdr:nvSpPr>
        <xdr:cNvPr id="37" name="Rectangle 36">
          <a:extLst>
            <a:ext uri="{FF2B5EF4-FFF2-40B4-BE49-F238E27FC236}">
              <a16:creationId xmlns:a16="http://schemas.microsoft.com/office/drawing/2014/main" id="{4E724603-D56F-411D-9104-74A904A982F4}"/>
            </a:ext>
          </a:extLst>
        </xdr:cNvPr>
        <xdr:cNvSpPr/>
      </xdr:nvSpPr>
      <xdr:spPr>
        <a:xfrm>
          <a:off x="152400" y="609600"/>
          <a:ext cx="5172075" cy="1638299"/>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t>Aim: </a:t>
          </a:r>
        </a:p>
        <a:p>
          <a:pPr algn="l">
            <a:lnSpc>
              <a:spcPct val="150000"/>
            </a:lnSpc>
          </a:pPr>
          <a:r>
            <a:rPr lang="en-IN" sz="1600"/>
            <a:t>Analyzing sales and profit of the company for different segments and markets, and understanding spending of consumers based on discounts offers.</a:t>
          </a:r>
        </a:p>
        <a:p>
          <a:pPr algn="l"/>
          <a:r>
            <a:rPr lang="en-IN" sz="2000"/>
            <a:t> </a:t>
          </a:r>
          <a:endParaRPr lang="en-IN" sz="1400"/>
        </a:p>
      </xdr:txBody>
    </xdr:sp>
    <xdr:clientData/>
  </xdr:twoCellAnchor>
  <xdr:twoCellAnchor>
    <xdr:from>
      <xdr:col>0</xdr:col>
      <xdr:colOff>190501</xdr:colOff>
      <xdr:row>14</xdr:row>
      <xdr:rowOff>66676</xdr:rowOff>
    </xdr:from>
    <xdr:to>
      <xdr:col>8</xdr:col>
      <xdr:colOff>476251</xdr:colOff>
      <xdr:row>29</xdr:row>
      <xdr:rowOff>47625</xdr:rowOff>
    </xdr:to>
    <xdr:sp macro="" textlink="">
      <xdr:nvSpPr>
        <xdr:cNvPr id="42" name="Rectangle 41">
          <a:extLst>
            <a:ext uri="{FF2B5EF4-FFF2-40B4-BE49-F238E27FC236}">
              <a16:creationId xmlns:a16="http://schemas.microsoft.com/office/drawing/2014/main" id="{A0D9C1F6-BC8C-48B8-8559-95431591FA66}"/>
            </a:ext>
          </a:extLst>
        </xdr:cNvPr>
        <xdr:cNvSpPr/>
      </xdr:nvSpPr>
      <xdr:spPr>
        <a:xfrm>
          <a:off x="190501" y="2333626"/>
          <a:ext cx="5162550" cy="2409824"/>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t>Objectives: </a:t>
          </a:r>
        </a:p>
        <a:p>
          <a:pPr marL="285750" indent="-285750" algn="l">
            <a:lnSpc>
              <a:spcPct val="150000"/>
            </a:lnSpc>
            <a:buFont typeface="Arial" panose="020B0604020202020204" pitchFamily="34" charset="0"/>
            <a:buChar char="•"/>
          </a:pPr>
          <a:r>
            <a:rPr lang="en-IN" sz="1600"/>
            <a:t>Visualize the sales trend with respect to the factors influencing it.</a:t>
          </a:r>
        </a:p>
        <a:p>
          <a:pPr marL="285750" indent="-285750" algn="l">
            <a:lnSpc>
              <a:spcPct val="150000"/>
            </a:lnSpc>
            <a:buFont typeface="Arial" panose="020B0604020202020204" pitchFamily="34" charset="0"/>
            <a:buChar char="•"/>
          </a:pPr>
          <a:r>
            <a:rPr lang="en-IN" sz="1600"/>
            <a:t>Visualize the profit and profit ratio in different markets and segments.</a:t>
          </a:r>
        </a:p>
        <a:p>
          <a:pPr marL="285750" indent="-285750" algn="l">
            <a:lnSpc>
              <a:spcPct val="150000"/>
            </a:lnSpc>
            <a:buFont typeface="Arial" panose="020B0604020202020204" pitchFamily="34" charset="0"/>
            <a:buChar char="•"/>
          </a:pPr>
          <a:r>
            <a:rPr lang="en-IN" sz="1600"/>
            <a:t>Create a dashboard to communicate actionable insights.</a:t>
          </a:r>
        </a:p>
      </xdr:txBody>
    </xdr:sp>
    <xdr:clientData/>
  </xdr:twoCellAnchor>
  <xdr:twoCellAnchor>
    <xdr:from>
      <xdr:col>12</xdr:col>
      <xdr:colOff>257176</xdr:colOff>
      <xdr:row>19</xdr:row>
      <xdr:rowOff>66675</xdr:rowOff>
    </xdr:from>
    <xdr:to>
      <xdr:col>15</xdr:col>
      <xdr:colOff>295276</xdr:colOff>
      <xdr:row>25</xdr:row>
      <xdr:rowOff>28576</xdr:rowOff>
    </xdr:to>
    <xdr:sp macro="" textlink="">
      <xdr:nvSpPr>
        <xdr:cNvPr id="47" name="Rectangle 46">
          <a:extLst>
            <a:ext uri="{FF2B5EF4-FFF2-40B4-BE49-F238E27FC236}">
              <a16:creationId xmlns:a16="http://schemas.microsoft.com/office/drawing/2014/main" id="{2770CBA9-13A2-443A-A52E-BE66DC7CA6EC}"/>
            </a:ext>
          </a:extLst>
        </xdr:cNvPr>
        <xdr:cNvSpPr/>
      </xdr:nvSpPr>
      <xdr:spPr>
        <a:xfrm>
          <a:off x="7572376" y="3143250"/>
          <a:ext cx="1866900" cy="933451"/>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50000"/>
            </a:lnSpc>
            <a:spcBef>
              <a:spcPts val="0"/>
            </a:spcBef>
            <a:spcAft>
              <a:spcPts val="0"/>
            </a:spcAft>
            <a:buClrTx/>
            <a:buSzTx/>
            <a:buFontTx/>
            <a:buNone/>
            <a:tabLst/>
            <a:defRPr/>
          </a:pPr>
          <a:r>
            <a:rPr kumimoji="0" lang="en-IN" sz="1200" b="0" i="0" u="none" strike="noStrike" kern="0" cap="none" spc="0" normalizeH="0" baseline="0" noProof="0">
              <a:ln>
                <a:noFill/>
              </a:ln>
              <a:solidFill>
                <a:prstClr val="white"/>
              </a:solidFill>
              <a:effectLst/>
              <a:uLnTx/>
              <a:uFillTx/>
              <a:latin typeface="+mn-lt"/>
              <a:ea typeface="+mn-ea"/>
              <a:cs typeface="+mn-cs"/>
            </a:rPr>
            <a:t>Prepared By</a:t>
          </a:r>
          <a:r>
            <a:rPr lang="en-IN" sz="1200"/>
            <a:t>:</a:t>
          </a:r>
        </a:p>
        <a:p>
          <a:pPr algn="ctr">
            <a:lnSpc>
              <a:spcPct val="150000"/>
            </a:lnSpc>
          </a:pPr>
          <a:r>
            <a:rPr lang="en-IN" sz="1600"/>
            <a:t>Debasish Deb</a:t>
          </a:r>
        </a:p>
        <a:p>
          <a:pPr algn="l"/>
          <a:r>
            <a:rPr lang="en-IN" sz="2000"/>
            <a:t> </a:t>
          </a:r>
          <a:endParaRPr lang="en-IN" sz="1400"/>
        </a:p>
      </xdr:txBody>
    </xdr:sp>
    <xdr:clientData/>
  </xdr:twoCellAnchor>
  <xdr:twoCellAnchor>
    <xdr:from>
      <xdr:col>8</xdr:col>
      <xdr:colOff>504821</xdr:colOff>
      <xdr:row>27</xdr:row>
      <xdr:rowOff>28575</xdr:rowOff>
    </xdr:from>
    <xdr:to>
      <xdr:col>19</xdr:col>
      <xdr:colOff>180974</xdr:colOff>
      <xdr:row>29</xdr:row>
      <xdr:rowOff>9525</xdr:rowOff>
    </xdr:to>
    <xdr:sp macro="" textlink="">
      <xdr:nvSpPr>
        <xdr:cNvPr id="57" name="Rectangle 56">
          <a:extLst>
            <a:ext uri="{FF2B5EF4-FFF2-40B4-BE49-F238E27FC236}">
              <a16:creationId xmlns:a16="http://schemas.microsoft.com/office/drawing/2014/main" id="{64E5B3D5-9523-4A0B-8852-8A1E950D9B55}"/>
            </a:ext>
          </a:extLst>
        </xdr:cNvPr>
        <xdr:cNvSpPr/>
      </xdr:nvSpPr>
      <xdr:spPr>
        <a:xfrm>
          <a:off x="5381621" y="4400550"/>
          <a:ext cx="6381753" cy="3048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50000"/>
            </a:lnSpc>
            <a:spcBef>
              <a:spcPts val="0"/>
            </a:spcBef>
            <a:spcAft>
              <a:spcPts val="0"/>
            </a:spcAft>
            <a:buClrTx/>
            <a:buSzTx/>
            <a:buFontTx/>
            <a:buNone/>
            <a:tabLst/>
            <a:defRPr/>
          </a:pPr>
          <a:r>
            <a:rPr lang="en-IN" sz="900"/>
            <a:t>Best</a:t>
          </a:r>
          <a:r>
            <a:rPr lang="en-IN" sz="900" baseline="0"/>
            <a:t> viewed on MS exel 2019 or Excel 365,zoom level at 100%,Screen size 13"-15 ",screen resoluation 1280x800</a:t>
          </a:r>
          <a:endParaRPr lang="en-IN" sz="9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63</xdr:row>
      <xdr:rowOff>0</xdr:rowOff>
    </xdr:from>
    <xdr:to>
      <xdr:col>9</xdr:col>
      <xdr:colOff>304800</xdr:colOff>
      <xdr:row>79</xdr:row>
      <xdr:rowOff>152400</xdr:rowOff>
    </xdr:to>
    <xdr:graphicFrame macro="">
      <xdr:nvGraphicFramePr>
        <xdr:cNvPr id="3" name="Chart 2">
          <a:extLst>
            <a:ext uri="{FF2B5EF4-FFF2-40B4-BE49-F238E27FC236}">
              <a16:creationId xmlns:a16="http://schemas.microsoft.com/office/drawing/2014/main" id="{B5A73C83-4BFF-4200-9E4D-8F56A7C6E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9524</xdr:colOff>
      <xdr:row>0</xdr:row>
      <xdr:rowOff>0</xdr:rowOff>
    </xdr:from>
    <xdr:to>
      <xdr:col>19</xdr:col>
      <xdr:colOff>379124</xdr:colOff>
      <xdr:row>2</xdr:row>
      <xdr:rowOff>57150</xdr:rowOff>
    </xdr:to>
    <xdr:sp macro="" textlink="">
      <xdr:nvSpPr>
        <xdr:cNvPr id="8" name="Rectangle 7">
          <a:extLst>
            <a:ext uri="{FF2B5EF4-FFF2-40B4-BE49-F238E27FC236}">
              <a16:creationId xmlns:a16="http://schemas.microsoft.com/office/drawing/2014/main" id="{40148FD4-4465-4D5C-96F9-9BF8D5AF3A02}"/>
            </a:ext>
          </a:extLst>
        </xdr:cNvPr>
        <xdr:cNvSpPr/>
      </xdr:nvSpPr>
      <xdr:spPr>
        <a:xfrm>
          <a:off x="9524" y="0"/>
          <a:ext cx="11952000" cy="381000"/>
        </a:xfrm>
        <a:prstGeom prst="rect">
          <a:avLst/>
        </a:prstGeom>
        <a:gradFill>
          <a:gsLst>
            <a:gs pos="0">
              <a:schemeClr val="tx1"/>
            </a:gs>
            <a:gs pos="100000">
              <a:srgbClr val="800080"/>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t>Sales Analysis</a:t>
          </a:r>
        </a:p>
      </xdr:txBody>
    </xdr:sp>
    <xdr:clientData/>
  </xdr:twoCellAnchor>
  <xdr:twoCellAnchor editAs="oneCell">
    <xdr:from>
      <xdr:col>0</xdr:col>
      <xdr:colOff>66675</xdr:colOff>
      <xdr:row>0</xdr:row>
      <xdr:rowOff>57150</xdr:rowOff>
    </xdr:from>
    <xdr:to>
      <xdr:col>0</xdr:col>
      <xdr:colOff>342900</xdr:colOff>
      <xdr:row>2</xdr:row>
      <xdr:rowOff>9525</xdr:rowOff>
    </xdr:to>
    <xdr:pic>
      <xdr:nvPicPr>
        <xdr:cNvPr id="9" name="Picture 8">
          <a:extLst>
            <a:ext uri="{FF2B5EF4-FFF2-40B4-BE49-F238E27FC236}">
              <a16:creationId xmlns:a16="http://schemas.microsoft.com/office/drawing/2014/main" id="{3DB70A67-E34A-4183-B354-10E9C7781EE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57150"/>
          <a:ext cx="276225" cy="276225"/>
        </a:xfrm>
        <a:prstGeom prst="rect">
          <a:avLst/>
        </a:prstGeom>
      </xdr:spPr>
    </xdr:pic>
    <xdr:clientData/>
  </xdr:twoCellAnchor>
  <xdr:twoCellAnchor>
    <xdr:from>
      <xdr:col>0</xdr:col>
      <xdr:colOff>0</xdr:colOff>
      <xdr:row>24</xdr:row>
      <xdr:rowOff>114299</xdr:rowOff>
    </xdr:from>
    <xdr:to>
      <xdr:col>19</xdr:col>
      <xdr:colOff>333375</xdr:colOff>
      <xdr:row>29</xdr:row>
      <xdr:rowOff>104775</xdr:rowOff>
    </xdr:to>
    <xdr:sp macro="" textlink="">
      <xdr:nvSpPr>
        <xdr:cNvPr id="10" name="Rectangle 9">
          <a:extLst>
            <a:ext uri="{FF2B5EF4-FFF2-40B4-BE49-F238E27FC236}">
              <a16:creationId xmlns:a16="http://schemas.microsoft.com/office/drawing/2014/main" id="{3C36801A-E59B-414C-B676-754926A3961F}"/>
            </a:ext>
          </a:extLst>
        </xdr:cNvPr>
        <xdr:cNvSpPr/>
      </xdr:nvSpPr>
      <xdr:spPr>
        <a:xfrm>
          <a:off x="0" y="4000499"/>
          <a:ext cx="11915775" cy="80010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76201</xdr:colOff>
      <xdr:row>24</xdr:row>
      <xdr:rowOff>85724</xdr:rowOff>
    </xdr:from>
    <xdr:to>
      <xdr:col>6</xdr:col>
      <xdr:colOff>333375</xdr:colOff>
      <xdr:row>30</xdr:row>
      <xdr:rowOff>66675</xdr:rowOff>
    </xdr:to>
    <mc:AlternateContent xmlns:mc="http://schemas.openxmlformats.org/markup-compatibility/2006" xmlns:a14="http://schemas.microsoft.com/office/drawing/2010/main">
      <mc:Choice Requires="a14">
        <xdr:graphicFrame macro="">
          <xdr:nvGraphicFramePr>
            <xdr:cNvPr id="13" name="Product 1">
              <a:extLst>
                <a:ext uri="{FF2B5EF4-FFF2-40B4-BE49-F238E27FC236}">
                  <a16:creationId xmlns:a16="http://schemas.microsoft.com/office/drawing/2014/main" id="{91E1CCA8-783C-4286-9A50-B95A01ED9473}"/>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76201" y="3971924"/>
              <a:ext cx="3914774" cy="952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14</xdr:col>
      <xdr:colOff>159543</xdr:colOff>
      <xdr:row>24</xdr:row>
      <xdr:rowOff>152400</xdr:rowOff>
    </xdr:from>
    <xdr:to>
      <xdr:col>19</xdr:col>
      <xdr:colOff>442912</xdr:colOff>
      <xdr:row>30</xdr:row>
      <xdr:rowOff>42863</xdr:rowOff>
    </xdr:to>
    <mc:AlternateContent xmlns:mc="http://schemas.openxmlformats.org/markup-compatibility/2006" xmlns:a14="http://schemas.microsoft.com/office/drawing/2010/main">
      <mc:Choice Requires="a14">
        <xdr:graphicFrame macro="">
          <xdr:nvGraphicFramePr>
            <xdr:cNvPr id="14" name="Segment 1">
              <a:extLst>
                <a:ext uri="{FF2B5EF4-FFF2-40B4-BE49-F238E27FC236}">
                  <a16:creationId xmlns:a16="http://schemas.microsoft.com/office/drawing/2014/main" id="{C2309B41-3CA4-4630-A58B-8EF8F638105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693943" y="4038600"/>
              <a:ext cx="3331369" cy="8620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8</xdr:col>
      <xdr:colOff>447675</xdr:colOff>
      <xdr:row>24</xdr:row>
      <xdr:rowOff>123824</xdr:rowOff>
    </xdr:from>
    <xdr:to>
      <xdr:col>14</xdr:col>
      <xdr:colOff>190500</xdr:colOff>
      <xdr:row>30</xdr:row>
      <xdr:rowOff>28575</xdr:rowOff>
    </xdr:to>
    <mc:AlternateContent xmlns:mc="http://schemas.openxmlformats.org/markup-compatibility/2006" xmlns:a14="http://schemas.microsoft.com/office/drawing/2010/main">
      <mc:Choice Requires="a14">
        <xdr:graphicFrame macro="">
          <xdr:nvGraphicFramePr>
            <xdr:cNvPr id="15" name="Country 1">
              <a:extLst>
                <a:ext uri="{FF2B5EF4-FFF2-40B4-BE49-F238E27FC236}">
                  <a16:creationId xmlns:a16="http://schemas.microsoft.com/office/drawing/2014/main" id="{D50BF320-97B7-4993-9B7A-9CB0494A57C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324475" y="4010024"/>
              <a:ext cx="3400425" cy="876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6</xdr:col>
      <xdr:colOff>314325</xdr:colOff>
      <xdr:row>24</xdr:row>
      <xdr:rowOff>133349</xdr:rowOff>
    </xdr:from>
    <xdr:to>
      <xdr:col>8</xdr:col>
      <xdr:colOff>428625</xdr:colOff>
      <xdr:row>30</xdr:row>
      <xdr:rowOff>104775</xdr:rowOff>
    </xdr:to>
    <mc:AlternateContent xmlns:mc="http://schemas.openxmlformats.org/markup-compatibility/2006" xmlns:a14="http://schemas.microsoft.com/office/drawing/2010/main">
      <mc:Choice Requires="a14">
        <xdr:graphicFrame macro="">
          <xdr:nvGraphicFramePr>
            <xdr:cNvPr id="16" name="Market 1">
              <a:extLst>
                <a:ext uri="{FF2B5EF4-FFF2-40B4-BE49-F238E27FC236}">
                  <a16:creationId xmlns:a16="http://schemas.microsoft.com/office/drawing/2014/main" id="{BEEA1028-7959-44AE-8F68-B36DC314F979}"/>
                </a:ext>
              </a:extLst>
            </xdr:cNvPr>
            <xdr:cNvGraphicFramePr/>
          </xdr:nvGraphicFramePr>
          <xdr:xfrm>
            <a:off x="0" y="0"/>
            <a:ext cx="0" cy="0"/>
          </xdr:xfrm>
          <a:graphic>
            <a:graphicData uri="http://schemas.microsoft.com/office/drawing/2010/slicer">
              <sle:slicer xmlns:sle="http://schemas.microsoft.com/office/drawing/2010/slicer" name="Market 1"/>
            </a:graphicData>
          </a:graphic>
        </xdr:graphicFrame>
      </mc:Choice>
      <mc:Fallback xmlns="">
        <xdr:sp macro="" textlink="">
          <xdr:nvSpPr>
            <xdr:cNvPr id="0" name=""/>
            <xdr:cNvSpPr>
              <a:spLocks noTextEdit="1"/>
            </xdr:cNvSpPr>
          </xdr:nvSpPr>
          <xdr:spPr>
            <a:xfrm>
              <a:off x="3971925" y="4019549"/>
              <a:ext cx="13335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xdr:col>
      <xdr:colOff>228600</xdr:colOff>
      <xdr:row>2</xdr:row>
      <xdr:rowOff>123825</xdr:rowOff>
    </xdr:from>
    <xdr:to>
      <xdr:col>18</xdr:col>
      <xdr:colOff>295757</xdr:colOff>
      <xdr:row>24</xdr:row>
      <xdr:rowOff>114301</xdr:rowOff>
    </xdr:to>
    <xdr:sp macro="" textlink="">
      <xdr:nvSpPr>
        <xdr:cNvPr id="27" name="Freeform: Shape 26">
          <a:extLst>
            <a:ext uri="{FF2B5EF4-FFF2-40B4-BE49-F238E27FC236}">
              <a16:creationId xmlns:a16="http://schemas.microsoft.com/office/drawing/2014/main" id="{545D65CA-DC0A-4F46-BCF4-3B87DEFD3319}"/>
            </a:ext>
          </a:extLst>
        </xdr:cNvPr>
        <xdr:cNvSpPr/>
      </xdr:nvSpPr>
      <xdr:spPr>
        <a:xfrm>
          <a:off x="838200" y="447675"/>
          <a:ext cx="10430357" cy="3552826"/>
        </a:xfrm>
        <a:custGeom>
          <a:avLst/>
          <a:gdLst>
            <a:gd name="connsiteX0" fmla="*/ 7056249 w 10430357"/>
            <a:gd name="connsiteY0" fmla="*/ 2933054 h 5455403"/>
            <a:gd name="connsiteX1" fmla="*/ 10430357 w 10430357"/>
            <a:gd name="connsiteY1" fmla="*/ 2933054 h 5455403"/>
            <a:gd name="connsiteX2" fmla="*/ 10430357 w 10430357"/>
            <a:gd name="connsiteY2" fmla="*/ 5455403 h 5455403"/>
            <a:gd name="connsiteX3" fmla="*/ 7056249 w 10430357"/>
            <a:gd name="connsiteY3" fmla="*/ 5455403 h 5455403"/>
            <a:gd name="connsiteX4" fmla="*/ 3318576 w 10430357"/>
            <a:gd name="connsiteY4" fmla="*/ 2933054 h 5455403"/>
            <a:gd name="connsiteX5" fmla="*/ 4947188 w 10430357"/>
            <a:gd name="connsiteY5" fmla="*/ 2933054 h 5455403"/>
            <a:gd name="connsiteX6" fmla="*/ 4947188 w 10430357"/>
            <a:gd name="connsiteY6" fmla="*/ 2936018 h 5455403"/>
            <a:gd name="connsiteX7" fmla="*/ 5075049 w 10430357"/>
            <a:gd name="connsiteY7" fmla="*/ 2936018 h 5455403"/>
            <a:gd name="connsiteX8" fmla="*/ 5075049 w 10430357"/>
            <a:gd name="connsiteY8" fmla="*/ 2933054 h 5455403"/>
            <a:gd name="connsiteX9" fmla="*/ 6928388 w 10430357"/>
            <a:gd name="connsiteY9" fmla="*/ 2933054 h 5455403"/>
            <a:gd name="connsiteX10" fmla="*/ 6928388 w 10430357"/>
            <a:gd name="connsiteY10" fmla="*/ 5455403 h 5455403"/>
            <a:gd name="connsiteX11" fmla="*/ 3318576 w 10430357"/>
            <a:gd name="connsiteY11" fmla="*/ 5455403 h 5455403"/>
            <a:gd name="connsiteX12" fmla="*/ 0 w 10430357"/>
            <a:gd name="connsiteY12" fmla="*/ 2933054 h 5455403"/>
            <a:gd name="connsiteX13" fmla="*/ 3190715 w 10430357"/>
            <a:gd name="connsiteY13" fmla="*/ 2933054 h 5455403"/>
            <a:gd name="connsiteX14" fmla="*/ 3190715 w 10430357"/>
            <a:gd name="connsiteY14" fmla="*/ 5455403 h 5455403"/>
            <a:gd name="connsiteX15" fmla="*/ 0 w 10430357"/>
            <a:gd name="connsiteY15" fmla="*/ 5455403 h 5455403"/>
            <a:gd name="connsiteX16" fmla="*/ 7779500 w 10430357"/>
            <a:gd name="connsiteY16" fmla="*/ 0 h 5455403"/>
            <a:gd name="connsiteX17" fmla="*/ 10430357 w 10430357"/>
            <a:gd name="connsiteY17" fmla="*/ 0 h 5455403"/>
            <a:gd name="connsiteX18" fmla="*/ 10430357 w 10430357"/>
            <a:gd name="connsiteY18" fmla="*/ 2805193 h 5455403"/>
            <a:gd name="connsiteX19" fmla="*/ 7779500 w 10430357"/>
            <a:gd name="connsiteY19" fmla="*/ 2805193 h 5455403"/>
            <a:gd name="connsiteX20" fmla="*/ 5075049 w 10430357"/>
            <a:gd name="connsiteY20" fmla="*/ 0 h 5455403"/>
            <a:gd name="connsiteX21" fmla="*/ 7651640 w 10430357"/>
            <a:gd name="connsiteY21" fmla="*/ 0 h 5455403"/>
            <a:gd name="connsiteX22" fmla="*/ 7651640 w 10430357"/>
            <a:gd name="connsiteY22" fmla="*/ 2805193 h 5455403"/>
            <a:gd name="connsiteX23" fmla="*/ 5075049 w 10430357"/>
            <a:gd name="connsiteY23" fmla="*/ 2805193 h 5455403"/>
            <a:gd name="connsiteX24" fmla="*/ 0 w 10430357"/>
            <a:gd name="connsiteY24" fmla="*/ 0 h 5455403"/>
            <a:gd name="connsiteX25" fmla="*/ 4947188 w 10430357"/>
            <a:gd name="connsiteY25" fmla="*/ 0 h 5455403"/>
            <a:gd name="connsiteX26" fmla="*/ 4947188 w 10430357"/>
            <a:gd name="connsiteY26" fmla="*/ 2805193 h 5455403"/>
            <a:gd name="connsiteX27" fmla="*/ 3318576 w 10430357"/>
            <a:gd name="connsiteY27" fmla="*/ 2805193 h 5455403"/>
            <a:gd name="connsiteX28" fmla="*/ 3318576 w 10430357"/>
            <a:gd name="connsiteY28" fmla="*/ 2800027 h 5455403"/>
            <a:gd name="connsiteX29" fmla="*/ 3190715 w 10430357"/>
            <a:gd name="connsiteY29" fmla="*/ 2800027 h 5455403"/>
            <a:gd name="connsiteX30" fmla="*/ 3190715 w 10430357"/>
            <a:gd name="connsiteY30" fmla="*/ 2805193 h 5455403"/>
            <a:gd name="connsiteX31" fmla="*/ 0 w 10430357"/>
            <a:gd name="connsiteY31" fmla="*/ 2805193 h 54554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10430357" h="5455403">
              <a:moveTo>
                <a:pt x="7056249" y="2933054"/>
              </a:moveTo>
              <a:lnTo>
                <a:pt x="10430357" y="2933054"/>
              </a:lnTo>
              <a:lnTo>
                <a:pt x="10430357" y="5455403"/>
              </a:lnTo>
              <a:lnTo>
                <a:pt x="7056249" y="5455403"/>
              </a:lnTo>
              <a:close/>
              <a:moveTo>
                <a:pt x="3318576" y="2933054"/>
              </a:moveTo>
              <a:lnTo>
                <a:pt x="4947188" y="2933054"/>
              </a:lnTo>
              <a:lnTo>
                <a:pt x="4947188" y="2936018"/>
              </a:lnTo>
              <a:lnTo>
                <a:pt x="5075049" y="2936018"/>
              </a:lnTo>
              <a:lnTo>
                <a:pt x="5075049" y="2933054"/>
              </a:lnTo>
              <a:lnTo>
                <a:pt x="6928388" y="2933054"/>
              </a:lnTo>
              <a:lnTo>
                <a:pt x="6928388" y="5455403"/>
              </a:lnTo>
              <a:lnTo>
                <a:pt x="3318576" y="5455403"/>
              </a:lnTo>
              <a:close/>
              <a:moveTo>
                <a:pt x="0" y="2933054"/>
              </a:moveTo>
              <a:lnTo>
                <a:pt x="3190715" y="2933054"/>
              </a:lnTo>
              <a:lnTo>
                <a:pt x="3190715" y="5455403"/>
              </a:lnTo>
              <a:lnTo>
                <a:pt x="0" y="5455403"/>
              </a:lnTo>
              <a:close/>
              <a:moveTo>
                <a:pt x="7779500" y="0"/>
              </a:moveTo>
              <a:lnTo>
                <a:pt x="10430357" y="0"/>
              </a:lnTo>
              <a:lnTo>
                <a:pt x="10430357" y="2805193"/>
              </a:lnTo>
              <a:lnTo>
                <a:pt x="7779500" y="2805193"/>
              </a:lnTo>
              <a:close/>
              <a:moveTo>
                <a:pt x="5075049" y="0"/>
              </a:moveTo>
              <a:lnTo>
                <a:pt x="7651640" y="0"/>
              </a:lnTo>
              <a:lnTo>
                <a:pt x="7651640" y="2805193"/>
              </a:lnTo>
              <a:lnTo>
                <a:pt x="5075049" y="2805193"/>
              </a:lnTo>
              <a:close/>
              <a:moveTo>
                <a:pt x="0" y="0"/>
              </a:moveTo>
              <a:lnTo>
                <a:pt x="4947188" y="0"/>
              </a:lnTo>
              <a:lnTo>
                <a:pt x="4947188" y="2805193"/>
              </a:lnTo>
              <a:lnTo>
                <a:pt x="3318576" y="2805193"/>
              </a:lnTo>
              <a:lnTo>
                <a:pt x="3318576" y="2800027"/>
              </a:lnTo>
              <a:lnTo>
                <a:pt x="3190715" y="2800027"/>
              </a:lnTo>
              <a:lnTo>
                <a:pt x="3190715" y="2805193"/>
              </a:lnTo>
              <a:lnTo>
                <a:pt x="0" y="2805193"/>
              </a:lnTo>
              <a:close/>
            </a:path>
          </a:pathLst>
        </a:custGeom>
        <a:gradFill>
          <a:gsLst>
            <a:gs pos="0">
              <a:sysClr val="windowText" lastClr="000000">
                <a:alpha val="80000"/>
              </a:sysClr>
            </a:gs>
            <a:gs pos="100000">
              <a:srgbClr val="820082"/>
            </a:gs>
          </a:gsLst>
          <a:lin ang="0" scaled="0"/>
        </a:grad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IN"/>
        </a:p>
      </xdr:txBody>
    </xdr:sp>
    <xdr:clientData/>
  </xdr:twoCellAnchor>
  <xdr:twoCellAnchor>
    <xdr:from>
      <xdr:col>9</xdr:col>
      <xdr:colOff>400051</xdr:colOff>
      <xdr:row>3</xdr:row>
      <xdr:rowOff>152400</xdr:rowOff>
    </xdr:from>
    <xdr:to>
      <xdr:col>13</xdr:col>
      <xdr:colOff>533400</xdr:colOff>
      <xdr:row>14</xdr:row>
      <xdr:rowOff>0</xdr:rowOff>
    </xdr:to>
    <xdr:graphicFrame macro="">
      <xdr:nvGraphicFramePr>
        <xdr:cNvPr id="25" name="Chart 24">
          <a:extLst>
            <a:ext uri="{FF2B5EF4-FFF2-40B4-BE49-F238E27FC236}">
              <a16:creationId xmlns:a16="http://schemas.microsoft.com/office/drawing/2014/main" id="{69DCFB38-E599-43A1-885D-7C22ACF6E0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590551</xdr:colOff>
      <xdr:row>15</xdr:row>
      <xdr:rowOff>57150</xdr:rowOff>
    </xdr:from>
    <xdr:to>
      <xdr:col>18</xdr:col>
      <xdr:colOff>238125</xdr:colOff>
      <xdr:row>24</xdr:row>
      <xdr:rowOff>95251</xdr:rowOff>
    </xdr:to>
    <xdr:graphicFrame macro="">
      <xdr:nvGraphicFramePr>
        <xdr:cNvPr id="5" name="Chart 4">
          <a:extLst>
            <a:ext uri="{FF2B5EF4-FFF2-40B4-BE49-F238E27FC236}">
              <a16:creationId xmlns:a16="http://schemas.microsoft.com/office/drawing/2014/main" id="{E5233BB0-349E-4637-B73C-C59CF0DE6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285750</xdr:colOff>
      <xdr:row>14</xdr:row>
      <xdr:rowOff>28575</xdr:rowOff>
    </xdr:from>
    <xdr:to>
      <xdr:col>6</xdr:col>
      <xdr:colOff>333375</xdr:colOff>
      <xdr:row>23</xdr:row>
      <xdr:rowOff>123825</xdr:rowOff>
    </xdr:to>
    <xdr:graphicFrame macro="">
      <xdr:nvGraphicFramePr>
        <xdr:cNvPr id="7" name="Chart 6">
          <a:extLst>
            <a:ext uri="{FF2B5EF4-FFF2-40B4-BE49-F238E27FC236}">
              <a16:creationId xmlns:a16="http://schemas.microsoft.com/office/drawing/2014/main" id="{7457DBD1-096D-45E4-BECD-EA840808A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495300</xdr:colOff>
      <xdr:row>14</xdr:row>
      <xdr:rowOff>95251</xdr:rowOff>
    </xdr:from>
    <xdr:to>
      <xdr:col>12</xdr:col>
      <xdr:colOff>419100</xdr:colOff>
      <xdr:row>24</xdr:row>
      <xdr:rowOff>104775</xdr:rowOff>
    </xdr:to>
    <xdr:graphicFrame macro="">
      <xdr:nvGraphicFramePr>
        <xdr:cNvPr id="4" name="Chart 3">
          <a:extLst>
            <a:ext uri="{FF2B5EF4-FFF2-40B4-BE49-F238E27FC236}">
              <a16:creationId xmlns:a16="http://schemas.microsoft.com/office/drawing/2014/main" id="{D18CACC4-FCE7-4816-8287-47CB958F8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419100</xdr:colOff>
      <xdr:row>2</xdr:row>
      <xdr:rowOff>123825</xdr:rowOff>
    </xdr:from>
    <xdr:to>
      <xdr:col>11</xdr:col>
      <xdr:colOff>476250</xdr:colOff>
      <xdr:row>4</xdr:row>
      <xdr:rowOff>9525</xdr:rowOff>
    </xdr:to>
    <xdr:sp macro="" textlink="">
      <xdr:nvSpPr>
        <xdr:cNvPr id="20" name="Rectangle: Rounded Corners 19">
          <a:extLst>
            <a:ext uri="{FF2B5EF4-FFF2-40B4-BE49-F238E27FC236}">
              <a16:creationId xmlns:a16="http://schemas.microsoft.com/office/drawing/2014/main" id="{A35B21A9-EB3D-437C-817D-113CFF2EF40A}"/>
            </a:ext>
          </a:extLst>
        </xdr:cNvPr>
        <xdr:cNvSpPr/>
      </xdr:nvSpPr>
      <xdr:spPr>
        <a:xfrm>
          <a:off x="5905500" y="447675"/>
          <a:ext cx="1276350" cy="209550"/>
        </a:xfrm>
        <a:prstGeom prst="roundRect">
          <a:avLst/>
        </a:prstGeom>
        <a:solidFill>
          <a:schemeClr val="bg1">
            <a:alpha val="29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oneCellAnchor>
    <xdr:from>
      <xdr:col>9</xdr:col>
      <xdr:colOff>219075</xdr:colOff>
      <xdr:row>2</xdr:row>
      <xdr:rowOff>85725</xdr:rowOff>
    </xdr:from>
    <xdr:ext cx="1304925" cy="257175"/>
    <xdr:sp macro="" textlink="">
      <xdr:nvSpPr>
        <xdr:cNvPr id="21" name="TextBox 20">
          <a:extLst>
            <a:ext uri="{FF2B5EF4-FFF2-40B4-BE49-F238E27FC236}">
              <a16:creationId xmlns:a16="http://schemas.microsoft.com/office/drawing/2014/main" id="{32ECFE91-74EF-408F-9448-490E315D261B}"/>
            </a:ext>
          </a:extLst>
        </xdr:cNvPr>
        <xdr:cNvSpPr txBox="1"/>
      </xdr:nvSpPr>
      <xdr:spPr>
        <a:xfrm>
          <a:off x="5705475" y="409575"/>
          <a:ext cx="1304925" cy="257175"/>
        </a:xfrm>
        <a:prstGeom prst="rect">
          <a:avLst/>
        </a:prstGeom>
        <a:noFill/>
        <a:ln>
          <a:noFill/>
        </a:ln>
        <a:effectLst/>
      </xdr:spPr>
      <xdr:txBody>
        <a:bodyPr vertOverflow="clip" horzOverflow="clip" wrap="non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rPr>
            <a:t>Product</a:t>
          </a:r>
        </a:p>
      </xdr:txBody>
    </xdr:sp>
    <xdr:clientData/>
  </xdr:oneCellAnchor>
  <xdr:twoCellAnchor>
    <xdr:from>
      <xdr:col>1</xdr:col>
      <xdr:colOff>228600</xdr:colOff>
      <xdr:row>3</xdr:row>
      <xdr:rowOff>57150</xdr:rowOff>
    </xdr:from>
    <xdr:to>
      <xdr:col>3</xdr:col>
      <xdr:colOff>285750</xdr:colOff>
      <xdr:row>4</xdr:row>
      <xdr:rowOff>104775</xdr:rowOff>
    </xdr:to>
    <xdr:sp macro="" textlink="">
      <xdr:nvSpPr>
        <xdr:cNvPr id="31" name="Rectangle: Rounded Corners 30">
          <a:extLst>
            <a:ext uri="{FF2B5EF4-FFF2-40B4-BE49-F238E27FC236}">
              <a16:creationId xmlns:a16="http://schemas.microsoft.com/office/drawing/2014/main" id="{F66AAA0D-1616-4184-B3AE-E6FA2D1DFB93}"/>
            </a:ext>
          </a:extLst>
        </xdr:cNvPr>
        <xdr:cNvSpPr/>
      </xdr:nvSpPr>
      <xdr:spPr>
        <a:xfrm>
          <a:off x="838200" y="542925"/>
          <a:ext cx="1276350" cy="209550"/>
        </a:xfrm>
        <a:prstGeom prst="roundRect">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xdr:col>
      <xdr:colOff>228600</xdr:colOff>
      <xdr:row>14</xdr:row>
      <xdr:rowOff>123825</xdr:rowOff>
    </xdr:from>
    <xdr:to>
      <xdr:col>3</xdr:col>
      <xdr:colOff>285750</xdr:colOff>
      <xdr:row>16</xdr:row>
      <xdr:rowOff>9525</xdr:rowOff>
    </xdr:to>
    <xdr:sp macro="" textlink="">
      <xdr:nvSpPr>
        <xdr:cNvPr id="32" name="Rectangle: Rounded Corners 31">
          <a:extLst>
            <a:ext uri="{FF2B5EF4-FFF2-40B4-BE49-F238E27FC236}">
              <a16:creationId xmlns:a16="http://schemas.microsoft.com/office/drawing/2014/main" id="{2A611545-46B9-4FE9-8855-AFE93CB26E83}"/>
            </a:ext>
          </a:extLst>
        </xdr:cNvPr>
        <xdr:cNvSpPr/>
      </xdr:nvSpPr>
      <xdr:spPr>
        <a:xfrm>
          <a:off x="838200" y="2390775"/>
          <a:ext cx="1276350" cy="209550"/>
        </a:xfrm>
        <a:prstGeom prst="roundRect">
          <a:avLst/>
        </a:prstGeom>
        <a:solidFill>
          <a:schemeClr val="bg1">
            <a:alpha val="29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495300</xdr:colOff>
      <xdr:row>14</xdr:row>
      <xdr:rowOff>95250</xdr:rowOff>
    </xdr:from>
    <xdr:to>
      <xdr:col>8</xdr:col>
      <xdr:colOff>552450</xdr:colOff>
      <xdr:row>15</xdr:row>
      <xdr:rowOff>142875</xdr:rowOff>
    </xdr:to>
    <xdr:sp macro="" textlink="">
      <xdr:nvSpPr>
        <xdr:cNvPr id="33" name="Rectangle: Rounded Corners 32">
          <a:extLst>
            <a:ext uri="{FF2B5EF4-FFF2-40B4-BE49-F238E27FC236}">
              <a16:creationId xmlns:a16="http://schemas.microsoft.com/office/drawing/2014/main" id="{A0076F8A-A588-4933-AEB6-339552D28756}"/>
            </a:ext>
          </a:extLst>
        </xdr:cNvPr>
        <xdr:cNvSpPr/>
      </xdr:nvSpPr>
      <xdr:spPr>
        <a:xfrm>
          <a:off x="4152900" y="2362200"/>
          <a:ext cx="1276350" cy="209550"/>
        </a:xfrm>
        <a:prstGeom prst="roundRect">
          <a:avLst/>
        </a:prstGeom>
        <a:solidFill>
          <a:schemeClr val="bg1">
            <a:alpha val="29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12</xdr:col>
      <xdr:colOff>561975</xdr:colOff>
      <xdr:row>14</xdr:row>
      <xdr:rowOff>95250</xdr:rowOff>
    </xdr:from>
    <xdr:to>
      <xdr:col>15</xdr:col>
      <xdr:colOff>9525</xdr:colOff>
      <xdr:row>15</xdr:row>
      <xdr:rowOff>142875</xdr:rowOff>
    </xdr:to>
    <xdr:sp macro="" textlink="">
      <xdr:nvSpPr>
        <xdr:cNvPr id="35" name="Rectangle: Rounded Corners 34">
          <a:extLst>
            <a:ext uri="{FF2B5EF4-FFF2-40B4-BE49-F238E27FC236}">
              <a16:creationId xmlns:a16="http://schemas.microsoft.com/office/drawing/2014/main" id="{9515BFA6-9C1C-48DD-B4DF-F74C113A65FF}"/>
            </a:ext>
          </a:extLst>
        </xdr:cNvPr>
        <xdr:cNvSpPr/>
      </xdr:nvSpPr>
      <xdr:spPr>
        <a:xfrm>
          <a:off x="7877175" y="2362200"/>
          <a:ext cx="1276350" cy="209550"/>
        </a:xfrm>
        <a:prstGeom prst="roundRect">
          <a:avLst/>
        </a:prstGeom>
        <a:solidFill>
          <a:schemeClr val="bg1">
            <a:alpha val="29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76200</xdr:colOff>
      <xdr:row>2</xdr:row>
      <xdr:rowOff>114300</xdr:rowOff>
    </xdr:from>
    <xdr:to>
      <xdr:col>16</xdr:col>
      <xdr:colOff>133350</xdr:colOff>
      <xdr:row>4</xdr:row>
      <xdr:rowOff>0</xdr:rowOff>
    </xdr:to>
    <xdr:sp macro="" textlink="">
      <xdr:nvSpPr>
        <xdr:cNvPr id="36" name="Rectangle: Rounded Corners 35">
          <a:extLst>
            <a:ext uri="{FF2B5EF4-FFF2-40B4-BE49-F238E27FC236}">
              <a16:creationId xmlns:a16="http://schemas.microsoft.com/office/drawing/2014/main" id="{174FF70A-F734-429A-833D-11DFFB2FF8F6}"/>
            </a:ext>
          </a:extLst>
        </xdr:cNvPr>
        <xdr:cNvSpPr/>
      </xdr:nvSpPr>
      <xdr:spPr>
        <a:xfrm>
          <a:off x="8610600" y="438150"/>
          <a:ext cx="1276350" cy="209550"/>
        </a:xfrm>
        <a:prstGeom prst="roundRect">
          <a:avLst/>
        </a:prstGeom>
        <a:solidFill>
          <a:schemeClr val="bg1">
            <a:alpha val="29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oneCellAnchor>
    <xdr:from>
      <xdr:col>6</xdr:col>
      <xdr:colOff>457200</xdr:colOff>
      <xdr:row>14</xdr:row>
      <xdr:rowOff>28575</xdr:rowOff>
    </xdr:from>
    <xdr:ext cx="1276350" cy="304800"/>
    <xdr:sp macro="" textlink="">
      <xdr:nvSpPr>
        <xdr:cNvPr id="24" name="TextBox 23">
          <a:extLst>
            <a:ext uri="{FF2B5EF4-FFF2-40B4-BE49-F238E27FC236}">
              <a16:creationId xmlns:a16="http://schemas.microsoft.com/office/drawing/2014/main" id="{F7B894E9-1B24-4686-9A1C-6166B228891C}"/>
            </a:ext>
          </a:extLst>
        </xdr:cNvPr>
        <xdr:cNvSpPr txBox="1"/>
      </xdr:nvSpPr>
      <xdr:spPr>
        <a:xfrm>
          <a:off x="4114800" y="2295525"/>
          <a:ext cx="1276350" cy="30480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rPr>
            <a:t>Country </a:t>
          </a:r>
        </a:p>
      </xdr:txBody>
    </xdr:sp>
    <xdr:clientData/>
  </xdr:oneCellAnchor>
  <xdr:oneCellAnchor>
    <xdr:from>
      <xdr:col>12</xdr:col>
      <xdr:colOff>571500</xdr:colOff>
      <xdr:row>14</xdr:row>
      <xdr:rowOff>38100</xdr:rowOff>
    </xdr:from>
    <xdr:ext cx="1276350" cy="304800"/>
    <xdr:sp macro="" textlink="">
      <xdr:nvSpPr>
        <xdr:cNvPr id="23" name="TextBox 22">
          <a:extLst>
            <a:ext uri="{FF2B5EF4-FFF2-40B4-BE49-F238E27FC236}">
              <a16:creationId xmlns:a16="http://schemas.microsoft.com/office/drawing/2014/main" id="{ED472C63-7BC3-4C1E-AE43-43A444A1B006}"/>
            </a:ext>
          </a:extLst>
        </xdr:cNvPr>
        <xdr:cNvSpPr txBox="1"/>
      </xdr:nvSpPr>
      <xdr:spPr>
        <a:xfrm>
          <a:off x="7886700" y="2305050"/>
          <a:ext cx="1276350" cy="30480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rPr>
            <a:t>Segment </a:t>
          </a:r>
        </a:p>
      </xdr:txBody>
    </xdr:sp>
    <xdr:clientData/>
  </xdr:oneCellAnchor>
  <xdr:oneCellAnchor>
    <xdr:from>
      <xdr:col>1</xdr:col>
      <xdr:colOff>276225</xdr:colOff>
      <xdr:row>14</xdr:row>
      <xdr:rowOff>57150</xdr:rowOff>
    </xdr:from>
    <xdr:ext cx="1276350" cy="304800"/>
    <xdr:sp macro="" textlink="">
      <xdr:nvSpPr>
        <xdr:cNvPr id="22" name="TextBox 21">
          <a:extLst>
            <a:ext uri="{FF2B5EF4-FFF2-40B4-BE49-F238E27FC236}">
              <a16:creationId xmlns:a16="http://schemas.microsoft.com/office/drawing/2014/main" id="{C9876274-4DD2-4C87-9125-7D65E1344A7D}"/>
            </a:ext>
          </a:extLst>
        </xdr:cNvPr>
        <xdr:cNvSpPr txBox="1"/>
      </xdr:nvSpPr>
      <xdr:spPr>
        <a:xfrm>
          <a:off x="885825" y="2324100"/>
          <a:ext cx="1276350" cy="30480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rPr>
            <a:t>Market</a:t>
          </a:r>
        </a:p>
      </xdr:txBody>
    </xdr:sp>
    <xdr:clientData/>
  </xdr:oneCellAnchor>
  <xdr:oneCellAnchor>
    <xdr:from>
      <xdr:col>1</xdr:col>
      <xdr:colOff>295275</xdr:colOff>
      <xdr:row>2</xdr:row>
      <xdr:rowOff>152401</xdr:rowOff>
    </xdr:from>
    <xdr:ext cx="1276350" cy="304800"/>
    <xdr:sp macro="" textlink="">
      <xdr:nvSpPr>
        <xdr:cNvPr id="12" name="TextBox 11">
          <a:extLst>
            <a:ext uri="{FF2B5EF4-FFF2-40B4-BE49-F238E27FC236}">
              <a16:creationId xmlns:a16="http://schemas.microsoft.com/office/drawing/2014/main" id="{3B6FF6A0-156E-45AB-B546-52D22C146574}"/>
            </a:ext>
          </a:extLst>
        </xdr:cNvPr>
        <xdr:cNvSpPr txBox="1"/>
      </xdr:nvSpPr>
      <xdr:spPr>
        <a:xfrm>
          <a:off x="904875" y="476251"/>
          <a:ext cx="127635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IN" sz="1400">
              <a:solidFill>
                <a:schemeClr val="bg1"/>
              </a:solidFill>
            </a:rPr>
            <a:t>Sales Trend</a:t>
          </a:r>
        </a:p>
      </xdr:txBody>
    </xdr:sp>
    <xdr:clientData/>
  </xdr:oneCellAnchor>
  <xdr:oneCellAnchor>
    <xdr:from>
      <xdr:col>14</xdr:col>
      <xdr:colOff>0</xdr:colOff>
      <xdr:row>2</xdr:row>
      <xdr:rowOff>76200</xdr:rowOff>
    </xdr:from>
    <xdr:ext cx="1304925" cy="257175"/>
    <xdr:sp macro="" textlink="">
      <xdr:nvSpPr>
        <xdr:cNvPr id="37" name="TextBox 36">
          <a:extLst>
            <a:ext uri="{FF2B5EF4-FFF2-40B4-BE49-F238E27FC236}">
              <a16:creationId xmlns:a16="http://schemas.microsoft.com/office/drawing/2014/main" id="{F8F3401E-8B12-49C3-8391-A0342879F7C8}"/>
            </a:ext>
          </a:extLst>
        </xdr:cNvPr>
        <xdr:cNvSpPr txBox="1"/>
      </xdr:nvSpPr>
      <xdr:spPr>
        <a:xfrm>
          <a:off x="8534400" y="400050"/>
          <a:ext cx="1304925" cy="257175"/>
        </a:xfrm>
        <a:prstGeom prst="rect">
          <a:avLst/>
        </a:prstGeom>
        <a:noFill/>
        <a:ln>
          <a:noFill/>
        </a:ln>
        <a:effectLst/>
      </xdr:spPr>
      <xdr:txBody>
        <a:bodyPr vertOverflow="clip" horzOverflow="clip" wrap="non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rPr>
            <a:t>Discount</a:t>
          </a:r>
        </a:p>
      </xdr:txBody>
    </xdr:sp>
    <xdr:clientData/>
  </xdr:oneCellAnchor>
  <xdr:twoCellAnchor>
    <xdr:from>
      <xdr:col>14</xdr:col>
      <xdr:colOff>85726</xdr:colOff>
      <xdr:row>3</xdr:row>
      <xdr:rowOff>9526</xdr:rowOff>
    </xdr:from>
    <xdr:to>
      <xdr:col>18</xdr:col>
      <xdr:colOff>266700</xdr:colOff>
      <xdr:row>13</xdr:row>
      <xdr:rowOff>133350</xdr:rowOff>
    </xdr:to>
    <xdr:graphicFrame macro="">
      <xdr:nvGraphicFramePr>
        <xdr:cNvPr id="29" name="Chart 28">
          <a:extLst>
            <a:ext uri="{FF2B5EF4-FFF2-40B4-BE49-F238E27FC236}">
              <a16:creationId xmlns:a16="http://schemas.microsoft.com/office/drawing/2014/main" id="{AC740F1D-8AC0-4654-BA93-64F6E3905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142875</xdr:colOff>
      <xdr:row>0</xdr:row>
      <xdr:rowOff>47625</xdr:rowOff>
    </xdr:from>
    <xdr:to>
      <xdr:col>18</xdr:col>
      <xdr:colOff>428625</xdr:colOff>
      <xdr:row>2</xdr:row>
      <xdr:rowOff>38100</xdr:rowOff>
    </xdr:to>
    <xdr:sp macro="" textlink="">
      <xdr:nvSpPr>
        <xdr:cNvPr id="38" name="Arrow: Right 37">
          <a:hlinkClick xmlns:r="http://schemas.openxmlformats.org/officeDocument/2006/relationships" r:id="rId8"/>
          <a:extLst>
            <a:ext uri="{FF2B5EF4-FFF2-40B4-BE49-F238E27FC236}">
              <a16:creationId xmlns:a16="http://schemas.microsoft.com/office/drawing/2014/main" id="{F9FB7A47-3541-42FC-8EEF-CB1D66BB05F8}"/>
            </a:ext>
          </a:extLst>
        </xdr:cNvPr>
        <xdr:cNvSpPr/>
      </xdr:nvSpPr>
      <xdr:spPr>
        <a:xfrm>
          <a:off x="11115675" y="47625"/>
          <a:ext cx="285750" cy="314325"/>
        </a:xfrm>
        <a:prstGeom prst="rightArrow">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xdr:col>
      <xdr:colOff>228600</xdr:colOff>
      <xdr:row>0</xdr:row>
      <xdr:rowOff>19050</xdr:rowOff>
    </xdr:from>
    <xdr:to>
      <xdr:col>1</xdr:col>
      <xdr:colOff>514350</xdr:colOff>
      <xdr:row>2</xdr:row>
      <xdr:rowOff>9525</xdr:rowOff>
    </xdr:to>
    <xdr:sp macro="" textlink="">
      <xdr:nvSpPr>
        <xdr:cNvPr id="39" name="Arrow: Right 38">
          <a:hlinkClick xmlns:r="http://schemas.openxmlformats.org/officeDocument/2006/relationships" r:id="rId9"/>
          <a:extLst>
            <a:ext uri="{FF2B5EF4-FFF2-40B4-BE49-F238E27FC236}">
              <a16:creationId xmlns:a16="http://schemas.microsoft.com/office/drawing/2014/main" id="{6153B04A-F9F2-4AD5-A4A9-EE135DE35233}"/>
            </a:ext>
          </a:extLst>
        </xdr:cNvPr>
        <xdr:cNvSpPr/>
      </xdr:nvSpPr>
      <xdr:spPr>
        <a:xfrm flipH="1">
          <a:off x="838200" y="19050"/>
          <a:ext cx="285750" cy="314325"/>
        </a:xfrm>
        <a:prstGeom prst="rightArrow">
          <a:avLst/>
        </a:prstGeom>
        <a:solidFill>
          <a:schemeClr val="bg1">
            <a:alpha val="2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409575</xdr:colOff>
      <xdr:row>0</xdr:row>
      <xdr:rowOff>38100</xdr:rowOff>
    </xdr:from>
    <xdr:to>
      <xdr:col>18</xdr:col>
      <xdr:colOff>87975</xdr:colOff>
      <xdr:row>2</xdr:row>
      <xdr:rowOff>2250</xdr:rowOff>
    </xdr:to>
    <xdr:pic>
      <xdr:nvPicPr>
        <xdr:cNvPr id="42" name="Graphic 41" descr="Home">
          <a:hlinkClick xmlns:r="http://schemas.openxmlformats.org/officeDocument/2006/relationships" r:id="rId9"/>
          <a:extLst>
            <a:ext uri="{FF2B5EF4-FFF2-40B4-BE49-F238E27FC236}">
              <a16:creationId xmlns:a16="http://schemas.microsoft.com/office/drawing/2014/main" id="{6F7FEB85-224B-4B24-9863-ED905C739BF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772775" y="38100"/>
          <a:ext cx="288000" cy="288000"/>
        </a:xfrm>
        <a:prstGeom prst="rect">
          <a:avLst/>
        </a:prstGeom>
      </xdr:spPr>
    </xdr:pic>
    <xdr:clientData/>
  </xdr:twoCellAnchor>
  <xdr:twoCellAnchor>
    <xdr:from>
      <xdr:col>1</xdr:col>
      <xdr:colOff>228600</xdr:colOff>
      <xdr:row>4</xdr:row>
      <xdr:rowOff>9524</xdr:rowOff>
    </xdr:from>
    <xdr:to>
      <xdr:col>9</xdr:col>
      <xdr:colOff>257175</xdr:colOff>
      <xdr:row>13</xdr:row>
      <xdr:rowOff>133350</xdr:rowOff>
    </xdr:to>
    <xdr:graphicFrame macro="">
      <xdr:nvGraphicFramePr>
        <xdr:cNvPr id="43" name="Chart 42">
          <a:extLst>
            <a:ext uri="{FF2B5EF4-FFF2-40B4-BE49-F238E27FC236}">
              <a16:creationId xmlns:a16="http://schemas.microsoft.com/office/drawing/2014/main" id="{23A3227B-A94E-4845-BEB0-621ACA45E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63</xdr:row>
      <xdr:rowOff>0</xdr:rowOff>
    </xdr:from>
    <xdr:to>
      <xdr:col>9</xdr:col>
      <xdr:colOff>304800</xdr:colOff>
      <xdr:row>79</xdr:row>
      <xdr:rowOff>152400</xdr:rowOff>
    </xdr:to>
    <xdr:graphicFrame macro="">
      <xdr:nvGraphicFramePr>
        <xdr:cNvPr id="2" name="Chart 1">
          <a:extLst>
            <a:ext uri="{FF2B5EF4-FFF2-40B4-BE49-F238E27FC236}">
              <a16:creationId xmlns:a16="http://schemas.microsoft.com/office/drawing/2014/main" id="{A12CCAA3-6EA9-4FD1-8BE6-F2134741E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9524</xdr:colOff>
      <xdr:row>0</xdr:row>
      <xdr:rowOff>0</xdr:rowOff>
    </xdr:from>
    <xdr:to>
      <xdr:col>19</xdr:col>
      <xdr:colOff>379124</xdr:colOff>
      <xdr:row>2</xdr:row>
      <xdr:rowOff>57150</xdr:rowOff>
    </xdr:to>
    <xdr:sp macro="" textlink="">
      <xdr:nvSpPr>
        <xdr:cNvPr id="3" name="Rectangle 2">
          <a:extLst>
            <a:ext uri="{FF2B5EF4-FFF2-40B4-BE49-F238E27FC236}">
              <a16:creationId xmlns:a16="http://schemas.microsoft.com/office/drawing/2014/main" id="{D0759683-B731-4CAE-A21A-A5C24A7BB9B2}"/>
            </a:ext>
          </a:extLst>
        </xdr:cNvPr>
        <xdr:cNvSpPr/>
      </xdr:nvSpPr>
      <xdr:spPr>
        <a:xfrm>
          <a:off x="9524" y="0"/>
          <a:ext cx="11952000" cy="381000"/>
        </a:xfrm>
        <a:prstGeom prst="rect">
          <a:avLst/>
        </a:prstGeom>
        <a:gradFill>
          <a:gsLst>
            <a:gs pos="0">
              <a:schemeClr val="tx1"/>
            </a:gs>
            <a:gs pos="100000">
              <a:srgbClr val="800080"/>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t>Profit Analysis</a:t>
          </a:r>
        </a:p>
      </xdr:txBody>
    </xdr:sp>
    <xdr:clientData/>
  </xdr:twoCellAnchor>
  <xdr:twoCellAnchor editAs="oneCell">
    <xdr:from>
      <xdr:col>0</xdr:col>
      <xdr:colOff>66675</xdr:colOff>
      <xdr:row>0</xdr:row>
      <xdr:rowOff>57150</xdr:rowOff>
    </xdr:from>
    <xdr:to>
      <xdr:col>0</xdr:col>
      <xdr:colOff>342900</xdr:colOff>
      <xdr:row>2</xdr:row>
      <xdr:rowOff>9525</xdr:rowOff>
    </xdr:to>
    <xdr:pic>
      <xdr:nvPicPr>
        <xdr:cNvPr id="4" name="Picture 3">
          <a:extLst>
            <a:ext uri="{FF2B5EF4-FFF2-40B4-BE49-F238E27FC236}">
              <a16:creationId xmlns:a16="http://schemas.microsoft.com/office/drawing/2014/main" id="{FC6F6296-5842-4B3E-AD4E-0F1FD8C3F28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57150"/>
          <a:ext cx="276225" cy="276225"/>
        </a:xfrm>
        <a:prstGeom prst="rect">
          <a:avLst/>
        </a:prstGeom>
      </xdr:spPr>
    </xdr:pic>
    <xdr:clientData/>
  </xdr:twoCellAnchor>
  <xdr:twoCellAnchor>
    <xdr:from>
      <xdr:col>0</xdr:col>
      <xdr:colOff>0</xdr:colOff>
      <xdr:row>24</xdr:row>
      <xdr:rowOff>114299</xdr:rowOff>
    </xdr:from>
    <xdr:to>
      <xdr:col>19</xdr:col>
      <xdr:colOff>333375</xdr:colOff>
      <xdr:row>29</xdr:row>
      <xdr:rowOff>104775</xdr:rowOff>
    </xdr:to>
    <xdr:sp macro="" textlink="">
      <xdr:nvSpPr>
        <xdr:cNvPr id="5" name="Rectangle 4">
          <a:extLst>
            <a:ext uri="{FF2B5EF4-FFF2-40B4-BE49-F238E27FC236}">
              <a16:creationId xmlns:a16="http://schemas.microsoft.com/office/drawing/2014/main" id="{824242BA-FCE7-4CBA-BCF0-301F57D6D45B}"/>
            </a:ext>
          </a:extLst>
        </xdr:cNvPr>
        <xdr:cNvSpPr/>
      </xdr:nvSpPr>
      <xdr:spPr>
        <a:xfrm>
          <a:off x="0" y="4000499"/>
          <a:ext cx="11915775" cy="80010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76201</xdr:colOff>
      <xdr:row>24</xdr:row>
      <xdr:rowOff>85724</xdr:rowOff>
    </xdr:from>
    <xdr:to>
      <xdr:col>6</xdr:col>
      <xdr:colOff>333375</xdr:colOff>
      <xdr:row>30</xdr:row>
      <xdr:rowOff>66675</xdr:rowOff>
    </xdr:to>
    <mc:AlternateContent xmlns:mc="http://schemas.openxmlformats.org/markup-compatibility/2006" xmlns:a14="http://schemas.microsoft.com/office/drawing/2010/main">
      <mc:Choice Requires="a14">
        <xdr:graphicFrame macro="">
          <xdr:nvGraphicFramePr>
            <xdr:cNvPr id="6" name="Product 2">
              <a:extLst>
                <a:ext uri="{FF2B5EF4-FFF2-40B4-BE49-F238E27FC236}">
                  <a16:creationId xmlns:a16="http://schemas.microsoft.com/office/drawing/2014/main" id="{30E24DB0-0DF4-4644-917A-CBBCB8F1B614}"/>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76201" y="3971924"/>
              <a:ext cx="3914774" cy="952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14</xdr:col>
      <xdr:colOff>159543</xdr:colOff>
      <xdr:row>24</xdr:row>
      <xdr:rowOff>152400</xdr:rowOff>
    </xdr:from>
    <xdr:to>
      <xdr:col>19</xdr:col>
      <xdr:colOff>442912</xdr:colOff>
      <xdr:row>30</xdr:row>
      <xdr:rowOff>42863</xdr:rowOff>
    </xdr:to>
    <mc:AlternateContent xmlns:mc="http://schemas.openxmlformats.org/markup-compatibility/2006" xmlns:a14="http://schemas.microsoft.com/office/drawing/2010/main">
      <mc:Choice Requires="a14">
        <xdr:graphicFrame macro="">
          <xdr:nvGraphicFramePr>
            <xdr:cNvPr id="7" name="Segment 2">
              <a:extLst>
                <a:ext uri="{FF2B5EF4-FFF2-40B4-BE49-F238E27FC236}">
                  <a16:creationId xmlns:a16="http://schemas.microsoft.com/office/drawing/2014/main" id="{10F44A4F-027F-4870-BA7B-1FBE995A80B8}"/>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8693943" y="4038600"/>
              <a:ext cx="3331369" cy="8620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8</xdr:col>
      <xdr:colOff>447675</xdr:colOff>
      <xdr:row>24</xdr:row>
      <xdr:rowOff>123824</xdr:rowOff>
    </xdr:from>
    <xdr:to>
      <xdr:col>14</xdr:col>
      <xdr:colOff>190500</xdr:colOff>
      <xdr:row>30</xdr:row>
      <xdr:rowOff>28575</xdr:rowOff>
    </xdr:to>
    <mc:AlternateContent xmlns:mc="http://schemas.openxmlformats.org/markup-compatibility/2006" xmlns:a14="http://schemas.microsoft.com/office/drawing/2010/main">
      <mc:Choice Requires="a14">
        <xdr:graphicFrame macro="">
          <xdr:nvGraphicFramePr>
            <xdr:cNvPr id="8" name="Country 2">
              <a:extLst>
                <a:ext uri="{FF2B5EF4-FFF2-40B4-BE49-F238E27FC236}">
                  <a16:creationId xmlns:a16="http://schemas.microsoft.com/office/drawing/2014/main" id="{8AD170A3-72A2-4E2A-A789-364B1D80B0B8}"/>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5324475" y="4010024"/>
              <a:ext cx="3400425" cy="876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6</xdr:col>
      <xdr:colOff>314325</xdr:colOff>
      <xdr:row>24</xdr:row>
      <xdr:rowOff>133349</xdr:rowOff>
    </xdr:from>
    <xdr:to>
      <xdr:col>8</xdr:col>
      <xdr:colOff>428625</xdr:colOff>
      <xdr:row>30</xdr:row>
      <xdr:rowOff>104775</xdr:rowOff>
    </xdr:to>
    <mc:AlternateContent xmlns:mc="http://schemas.openxmlformats.org/markup-compatibility/2006" xmlns:a14="http://schemas.microsoft.com/office/drawing/2010/main">
      <mc:Choice Requires="a14">
        <xdr:graphicFrame macro="">
          <xdr:nvGraphicFramePr>
            <xdr:cNvPr id="9" name="Market 2">
              <a:extLst>
                <a:ext uri="{FF2B5EF4-FFF2-40B4-BE49-F238E27FC236}">
                  <a16:creationId xmlns:a16="http://schemas.microsoft.com/office/drawing/2014/main" id="{B9685434-7FB1-40EB-A484-A5CD13511559}"/>
                </a:ext>
              </a:extLst>
            </xdr:cNvPr>
            <xdr:cNvGraphicFramePr/>
          </xdr:nvGraphicFramePr>
          <xdr:xfrm>
            <a:off x="0" y="0"/>
            <a:ext cx="0" cy="0"/>
          </xdr:xfrm>
          <a:graphic>
            <a:graphicData uri="http://schemas.microsoft.com/office/drawing/2010/slicer">
              <sle:slicer xmlns:sle="http://schemas.microsoft.com/office/drawing/2010/slicer" name="Market 2"/>
            </a:graphicData>
          </a:graphic>
        </xdr:graphicFrame>
      </mc:Choice>
      <mc:Fallback xmlns="">
        <xdr:sp macro="" textlink="">
          <xdr:nvSpPr>
            <xdr:cNvPr id="0" name=""/>
            <xdr:cNvSpPr>
              <a:spLocks noTextEdit="1"/>
            </xdr:cNvSpPr>
          </xdr:nvSpPr>
          <xdr:spPr>
            <a:xfrm>
              <a:off x="3971925" y="4019549"/>
              <a:ext cx="13335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xdr:col>
      <xdr:colOff>228600</xdr:colOff>
      <xdr:row>2</xdr:row>
      <xdr:rowOff>123825</xdr:rowOff>
    </xdr:from>
    <xdr:to>
      <xdr:col>18</xdr:col>
      <xdr:colOff>295757</xdr:colOff>
      <xdr:row>24</xdr:row>
      <xdr:rowOff>114301</xdr:rowOff>
    </xdr:to>
    <xdr:sp macro="" textlink="">
      <xdr:nvSpPr>
        <xdr:cNvPr id="10" name="Freeform: Shape 9">
          <a:extLst>
            <a:ext uri="{FF2B5EF4-FFF2-40B4-BE49-F238E27FC236}">
              <a16:creationId xmlns:a16="http://schemas.microsoft.com/office/drawing/2014/main" id="{F2813B50-4BA5-4444-B7E8-5F415118A521}"/>
            </a:ext>
          </a:extLst>
        </xdr:cNvPr>
        <xdr:cNvSpPr/>
      </xdr:nvSpPr>
      <xdr:spPr>
        <a:xfrm>
          <a:off x="838200" y="447675"/>
          <a:ext cx="10430357" cy="3552826"/>
        </a:xfrm>
        <a:custGeom>
          <a:avLst/>
          <a:gdLst>
            <a:gd name="connsiteX0" fmla="*/ 7056249 w 10430357"/>
            <a:gd name="connsiteY0" fmla="*/ 2933054 h 5455403"/>
            <a:gd name="connsiteX1" fmla="*/ 10430357 w 10430357"/>
            <a:gd name="connsiteY1" fmla="*/ 2933054 h 5455403"/>
            <a:gd name="connsiteX2" fmla="*/ 10430357 w 10430357"/>
            <a:gd name="connsiteY2" fmla="*/ 5455403 h 5455403"/>
            <a:gd name="connsiteX3" fmla="*/ 7056249 w 10430357"/>
            <a:gd name="connsiteY3" fmla="*/ 5455403 h 5455403"/>
            <a:gd name="connsiteX4" fmla="*/ 3318576 w 10430357"/>
            <a:gd name="connsiteY4" fmla="*/ 2933054 h 5455403"/>
            <a:gd name="connsiteX5" fmla="*/ 4947188 w 10430357"/>
            <a:gd name="connsiteY5" fmla="*/ 2933054 h 5455403"/>
            <a:gd name="connsiteX6" fmla="*/ 4947188 w 10430357"/>
            <a:gd name="connsiteY6" fmla="*/ 2936018 h 5455403"/>
            <a:gd name="connsiteX7" fmla="*/ 5075049 w 10430357"/>
            <a:gd name="connsiteY7" fmla="*/ 2936018 h 5455403"/>
            <a:gd name="connsiteX8" fmla="*/ 5075049 w 10430357"/>
            <a:gd name="connsiteY8" fmla="*/ 2933054 h 5455403"/>
            <a:gd name="connsiteX9" fmla="*/ 6928388 w 10430357"/>
            <a:gd name="connsiteY9" fmla="*/ 2933054 h 5455403"/>
            <a:gd name="connsiteX10" fmla="*/ 6928388 w 10430357"/>
            <a:gd name="connsiteY10" fmla="*/ 5455403 h 5455403"/>
            <a:gd name="connsiteX11" fmla="*/ 3318576 w 10430357"/>
            <a:gd name="connsiteY11" fmla="*/ 5455403 h 5455403"/>
            <a:gd name="connsiteX12" fmla="*/ 0 w 10430357"/>
            <a:gd name="connsiteY12" fmla="*/ 2933054 h 5455403"/>
            <a:gd name="connsiteX13" fmla="*/ 3190715 w 10430357"/>
            <a:gd name="connsiteY13" fmla="*/ 2933054 h 5455403"/>
            <a:gd name="connsiteX14" fmla="*/ 3190715 w 10430357"/>
            <a:gd name="connsiteY14" fmla="*/ 5455403 h 5455403"/>
            <a:gd name="connsiteX15" fmla="*/ 0 w 10430357"/>
            <a:gd name="connsiteY15" fmla="*/ 5455403 h 5455403"/>
            <a:gd name="connsiteX16" fmla="*/ 7779500 w 10430357"/>
            <a:gd name="connsiteY16" fmla="*/ 0 h 5455403"/>
            <a:gd name="connsiteX17" fmla="*/ 10430357 w 10430357"/>
            <a:gd name="connsiteY17" fmla="*/ 0 h 5455403"/>
            <a:gd name="connsiteX18" fmla="*/ 10430357 w 10430357"/>
            <a:gd name="connsiteY18" fmla="*/ 2805193 h 5455403"/>
            <a:gd name="connsiteX19" fmla="*/ 7779500 w 10430357"/>
            <a:gd name="connsiteY19" fmla="*/ 2805193 h 5455403"/>
            <a:gd name="connsiteX20" fmla="*/ 5075049 w 10430357"/>
            <a:gd name="connsiteY20" fmla="*/ 0 h 5455403"/>
            <a:gd name="connsiteX21" fmla="*/ 7651640 w 10430357"/>
            <a:gd name="connsiteY21" fmla="*/ 0 h 5455403"/>
            <a:gd name="connsiteX22" fmla="*/ 7651640 w 10430357"/>
            <a:gd name="connsiteY22" fmla="*/ 2805193 h 5455403"/>
            <a:gd name="connsiteX23" fmla="*/ 5075049 w 10430357"/>
            <a:gd name="connsiteY23" fmla="*/ 2805193 h 5455403"/>
            <a:gd name="connsiteX24" fmla="*/ 0 w 10430357"/>
            <a:gd name="connsiteY24" fmla="*/ 0 h 5455403"/>
            <a:gd name="connsiteX25" fmla="*/ 4947188 w 10430357"/>
            <a:gd name="connsiteY25" fmla="*/ 0 h 5455403"/>
            <a:gd name="connsiteX26" fmla="*/ 4947188 w 10430357"/>
            <a:gd name="connsiteY26" fmla="*/ 2805193 h 5455403"/>
            <a:gd name="connsiteX27" fmla="*/ 3318576 w 10430357"/>
            <a:gd name="connsiteY27" fmla="*/ 2805193 h 5455403"/>
            <a:gd name="connsiteX28" fmla="*/ 3318576 w 10430357"/>
            <a:gd name="connsiteY28" fmla="*/ 2800027 h 5455403"/>
            <a:gd name="connsiteX29" fmla="*/ 3190715 w 10430357"/>
            <a:gd name="connsiteY29" fmla="*/ 2800027 h 5455403"/>
            <a:gd name="connsiteX30" fmla="*/ 3190715 w 10430357"/>
            <a:gd name="connsiteY30" fmla="*/ 2805193 h 5455403"/>
            <a:gd name="connsiteX31" fmla="*/ 0 w 10430357"/>
            <a:gd name="connsiteY31" fmla="*/ 2805193 h 54554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10430357" h="5455403">
              <a:moveTo>
                <a:pt x="7056249" y="2933054"/>
              </a:moveTo>
              <a:lnTo>
                <a:pt x="10430357" y="2933054"/>
              </a:lnTo>
              <a:lnTo>
                <a:pt x="10430357" y="5455403"/>
              </a:lnTo>
              <a:lnTo>
                <a:pt x="7056249" y="5455403"/>
              </a:lnTo>
              <a:close/>
              <a:moveTo>
                <a:pt x="3318576" y="2933054"/>
              </a:moveTo>
              <a:lnTo>
                <a:pt x="4947188" y="2933054"/>
              </a:lnTo>
              <a:lnTo>
                <a:pt x="4947188" y="2936018"/>
              </a:lnTo>
              <a:lnTo>
                <a:pt x="5075049" y="2936018"/>
              </a:lnTo>
              <a:lnTo>
                <a:pt x="5075049" y="2933054"/>
              </a:lnTo>
              <a:lnTo>
                <a:pt x="6928388" y="2933054"/>
              </a:lnTo>
              <a:lnTo>
                <a:pt x="6928388" y="5455403"/>
              </a:lnTo>
              <a:lnTo>
                <a:pt x="3318576" y="5455403"/>
              </a:lnTo>
              <a:close/>
              <a:moveTo>
                <a:pt x="0" y="2933054"/>
              </a:moveTo>
              <a:lnTo>
                <a:pt x="3190715" y="2933054"/>
              </a:lnTo>
              <a:lnTo>
                <a:pt x="3190715" y="5455403"/>
              </a:lnTo>
              <a:lnTo>
                <a:pt x="0" y="5455403"/>
              </a:lnTo>
              <a:close/>
              <a:moveTo>
                <a:pt x="7779500" y="0"/>
              </a:moveTo>
              <a:lnTo>
                <a:pt x="10430357" y="0"/>
              </a:lnTo>
              <a:lnTo>
                <a:pt x="10430357" y="2805193"/>
              </a:lnTo>
              <a:lnTo>
                <a:pt x="7779500" y="2805193"/>
              </a:lnTo>
              <a:close/>
              <a:moveTo>
                <a:pt x="5075049" y="0"/>
              </a:moveTo>
              <a:lnTo>
                <a:pt x="7651640" y="0"/>
              </a:lnTo>
              <a:lnTo>
                <a:pt x="7651640" y="2805193"/>
              </a:lnTo>
              <a:lnTo>
                <a:pt x="5075049" y="2805193"/>
              </a:lnTo>
              <a:close/>
              <a:moveTo>
                <a:pt x="0" y="0"/>
              </a:moveTo>
              <a:lnTo>
                <a:pt x="4947188" y="0"/>
              </a:lnTo>
              <a:lnTo>
                <a:pt x="4947188" y="2805193"/>
              </a:lnTo>
              <a:lnTo>
                <a:pt x="3318576" y="2805193"/>
              </a:lnTo>
              <a:lnTo>
                <a:pt x="3318576" y="2800027"/>
              </a:lnTo>
              <a:lnTo>
                <a:pt x="3190715" y="2800027"/>
              </a:lnTo>
              <a:lnTo>
                <a:pt x="3190715" y="2805193"/>
              </a:lnTo>
              <a:lnTo>
                <a:pt x="0" y="2805193"/>
              </a:lnTo>
              <a:close/>
            </a:path>
          </a:pathLst>
        </a:custGeom>
        <a:gradFill>
          <a:gsLst>
            <a:gs pos="0">
              <a:sysClr val="windowText" lastClr="000000">
                <a:alpha val="80000"/>
              </a:sysClr>
            </a:gs>
            <a:gs pos="100000">
              <a:srgbClr val="820082"/>
            </a:gs>
          </a:gsLst>
          <a:lin ang="0" scaled="0"/>
        </a:grad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IN"/>
        </a:p>
      </xdr:txBody>
    </xdr:sp>
    <xdr:clientData/>
  </xdr:twoCellAnchor>
  <xdr:twoCellAnchor>
    <xdr:from>
      <xdr:col>9</xdr:col>
      <xdr:colOff>419100</xdr:colOff>
      <xdr:row>2</xdr:row>
      <xdr:rowOff>123825</xdr:rowOff>
    </xdr:from>
    <xdr:to>
      <xdr:col>11</xdr:col>
      <xdr:colOff>476250</xdr:colOff>
      <xdr:row>4</xdr:row>
      <xdr:rowOff>9525</xdr:rowOff>
    </xdr:to>
    <xdr:sp macro="" textlink="">
      <xdr:nvSpPr>
        <xdr:cNvPr id="15" name="Rectangle: Rounded Corners 14">
          <a:extLst>
            <a:ext uri="{FF2B5EF4-FFF2-40B4-BE49-F238E27FC236}">
              <a16:creationId xmlns:a16="http://schemas.microsoft.com/office/drawing/2014/main" id="{2BE32B05-788C-49DD-9C12-60247474C9D3}"/>
            </a:ext>
          </a:extLst>
        </xdr:cNvPr>
        <xdr:cNvSpPr/>
      </xdr:nvSpPr>
      <xdr:spPr>
        <a:xfrm>
          <a:off x="5905500" y="447675"/>
          <a:ext cx="1276350" cy="209550"/>
        </a:xfrm>
        <a:prstGeom prst="roundRect">
          <a:avLst/>
        </a:prstGeom>
        <a:solidFill>
          <a:schemeClr val="bg1">
            <a:alpha val="29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oneCellAnchor>
    <xdr:from>
      <xdr:col>9</xdr:col>
      <xdr:colOff>219075</xdr:colOff>
      <xdr:row>2</xdr:row>
      <xdr:rowOff>85725</xdr:rowOff>
    </xdr:from>
    <xdr:ext cx="1304925" cy="257175"/>
    <xdr:sp macro="" textlink="">
      <xdr:nvSpPr>
        <xdr:cNvPr id="16" name="TextBox 15">
          <a:extLst>
            <a:ext uri="{FF2B5EF4-FFF2-40B4-BE49-F238E27FC236}">
              <a16:creationId xmlns:a16="http://schemas.microsoft.com/office/drawing/2014/main" id="{9FD92699-C5CD-4AB7-A0CE-89545B22DC21}"/>
            </a:ext>
          </a:extLst>
        </xdr:cNvPr>
        <xdr:cNvSpPr txBox="1"/>
      </xdr:nvSpPr>
      <xdr:spPr>
        <a:xfrm>
          <a:off x="5705475" y="409575"/>
          <a:ext cx="1304925" cy="257175"/>
        </a:xfrm>
        <a:prstGeom prst="rect">
          <a:avLst/>
        </a:prstGeom>
        <a:noFill/>
        <a:ln>
          <a:noFill/>
        </a:ln>
        <a:effectLst/>
      </xdr:spPr>
      <xdr:txBody>
        <a:bodyPr vertOverflow="clip" horzOverflow="clip" wrap="non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rPr>
            <a:t>Product</a:t>
          </a:r>
        </a:p>
      </xdr:txBody>
    </xdr:sp>
    <xdr:clientData/>
  </xdr:oneCellAnchor>
  <xdr:twoCellAnchor>
    <xdr:from>
      <xdr:col>1</xdr:col>
      <xdr:colOff>228600</xdr:colOff>
      <xdr:row>3</xdr:row>
      <xdr:rowOff>57150</xdr:rowOff>
    </xdr:from>
    <xdr:to>
      <xdr:col>3</xdr:col>
      <xdr:colOff>285750</xdr:colOff>
      <xdr:row>4</xdr:row>
      <xdr:rowOff>104775</xdr:rowOff>
    </xdr:to>
    <xdr:sp macro="" textlink="">
      <xdr:nvSpPr>
        <xdr:cNvPr id="17" name="Rectangle: Rounded Corners 16">
          <a:extLst>
            <a:ext uri="{FF2B5EF4-FFF2-40B4-BE49-F238E27FC236}">
              <a16:creationId xmlns:a16="http://schemas.microsoft.com/office/drawing/2014/main" id="{C54EACE4-0BD6-4191-9111-8F92E386503E}"/>
            </a:ext>
          </a:extLst>
        </xdr:cNvPr>
        <xdr:cNvSpPr/>
      </xdr:nvSpPr>
      <xdr:spPr>
        <a:xfrm>
          <a:off x="838200" y="542925"/>
          <a:ext cx="1276350" cy="209550"/>
        </a:xfrm>
        <a:prstGeom prst="roundRect">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xdr:col>
      <xdr:colOff>228600</xdr:colOff>
      <xdr:row>14</xdr:row>
      <xdr:rowOff>123825</xdr:rowOff>
    </xdr:from>
    <xdr:to>
      <xdr:col>3</xdr:col>
      <xdr:colOff>285750</xdr:colOff>
      <xdr:row>16</xdr:row>
      <xdr:rowOff>9525</xdr:rowOff>
    </xdr:to>
    <xdr:sp macro="" textlink="">
      <xdr:nvSpPr>
        <xdr:cNvPr id="18" name="Rectangle: Rounded Corners 17">
          <a:extLst>
            <a:ext uri="{FF2B5EF4-FFF2-40B4-BE49-F238E27FC236}">
              <a16:creationId xmlns:a16="http://schemas.microsoft.com/office/drawing/2014/main" id="{B6829555-9B3B-466B-8C3D-DC84EF3675F7}"/>
            </a:ext>
          </a:extLst>
        </xdr:cNvPr>
        <xdr:cNvSpPr/>
      </xdr:nvSpPr>
      <xdr:spPr>
        <a:xfrm>
          <a:off x="838200" y="2390775"/>
          <a:ext cx="1276350" cy="209550"/>
        </a:xfrm>
        <a:prstGeom prst="roundRect">
          <a:avLst/>
        </a:prstGeom>
        <a:solidFill>
          <a:schemeClr val="bg1">
            <a:alpha val="29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495300</xdr:colOff>
      <xdr:row>14</xdr:row>
      <xdr:rowOff>95250</xdr:rowOff>
    </xdr:from>
    <xdr:to>
      <xdr:col>8</xdr:col>
      <xdr:colOff>552450</xdr:colOff>
      <xdr:row>15</xdr:row>
      <xdr:rowOff>142875</xdr:rowOff>
    </xdr:to>
    <xdr:sp macro="" textlink="">
      <xdr:nvSpPr>
        <xdr:cNvPr id="19" name="Rectangle: Rounded Corners 18">
          <a:extLst>
            <a:ext uri="{FF2B5EF4-FFF2-40B4-BE49-F238E27FC236}">
              <a16:creationId xmlns:a16="http://schemas.microsoft.com/office/drawing/2014/main" id="{71DBD751-562C-4332-8A71-8B10FD8A74C5}"/>
            </a:ext>
          </a:extLst>
        </xdr:cNvPr>
        <xdr:cNvSpPr/>
      </xdr:nvSpPr>
      <xdr:spPr>
        <a:xfrm>
          <a:off x="4152900" y="2362200"/>
          <a:ext cx="1276350" cy="209550"/>
        </a:xfrm>
        <a:prstGeom prst="roundRect">
          <a:avLst/>
        </a:prstGeom>
        <a:solidFill>
          <a:schemeClr val="bg1">
            <a:alpha val="29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12</xdr:col>
      <xdr:colOff>561975</xdr:colOff>
      <xdr:row>14</xdr:row>
      <xdr:rowOff>95250</xdr:rowOff>
    </xdr:from>
    <xdr:to>
      <xdr:col>15</xdr:col>
      <xdr:colOff>9525</xdr:colOff>
      <xdr:row>15</xdr:row>
      <xdr:rowOff>142875</xdr:rowOff>
    </xdr:to>
    <xdr:sp macro="" textlink="">
      <xdr:nvSpPr>
        <xdr:cNvPr id="20" name="Rectangle: Rounded Corners 19">
          <a:extLst>
            <a:ext uri="{FF2B5EF4-FFF2-40B4-BE49-F238E27FC236}">
              <a16:creationId xmlns:a16="http://schemas.microsoft.com/office/drawing/2014/main" id="{D7554F88-99A5-43C2-8B2F-C91535388F71}"/>
            </a:ext>
          </a:extLst>
        </xdr:cNvPr>
        <xdr:cNvSpPr/>
      </xdr:nvSpPr>
      <xdr:spPr>
        <a:xfrm>
          <a:off x="7877175" y="2362200"/>
          <a:ext cx="1276350" cy="209550"/>
        </a:xfrm>
        <a:prstGeom prst="roundRect">
          <a:avLst/>
        </a:prstGeom>
        <a:solidFill>
          <a:schemeClr val="bg1">
            <a:alpha val="29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76200</xdr:colOff>
      <xdr:row>2</xdr:row>
      <xdr:rowOff>114300</xdr:rowOff>
    </xdr:from>
    <xdr:to>
      <xdr:col>16</xdr:col>
      <xdr:colOff>133350</xdr:colOff>
      <xdr:row>4</xdr:row>
      <xdr:rowOff>0</xdr:rowOff>
    </xdr:to>
    <xdr:sp macro="" textlink="">
      <xdr:nvSpPr>
        <xdr:cNvPr id="21" name="Rectangle: Rounded Corners 20">
          <a:extLst>
            <a:ext uri="{FF2B5EF4-FFF2-40B4-BE49-F238E27FC236}">
              <a16:creationId xmlns:a16="http://schemas.microsoft.com/office/drawing/2014/main" id="{98FF0AD2-A28B-4EAE-9118-F9583E2DCCF8}"/>
            </a:ext>
          </a:extLst>
        </xdr:cNvPr>
        <xdr:cNvSpPr/>
      </xdr:nvSpPr>
      <xdr:spPr>
        <a:xfrm>
          <a:off x="8610600" y="438150"/>
          <a:ext cx="1276350" cy="209550"/>
        </a:xfrm>
        <a:prstGeom prst="roundRect">
          <a:avLst/>
        </a:prstGeom>
        <a:solidFill>
          <a:schemeClr val="bg1">
            <a:alpha val="29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oneCellAnchor>
    <xdr:from>
      <xdr:col>6</xdr:col>
      <xdr:colOff>457200</xdr:colOff>
      <xdr:row>14</xdr:row>
      <xdr:rowOff>28575</xdr:rowOff>
    </xdr:from>
    <xdr:ext cx="1276350" cy="304800"/>
    <xdr:sp macro="" textlink="">
      <xdr:nvSpPr>
        <xdr:cNvPr id="22" name="TextBox 21">
          <a:extLst>
            <a:ext uri="{FF2B5EF4-FFF2-40B4-BE49-F238E27FC236}">
              <a16:creationId xmlns:a16="http://schemas.microsoft.com/office/drawing/2014/main" id="{69E15EB5-AD83-4C76-85F1-213BBB25F3CF}"/>
            </a:ext>
          </a:extLst>
        </xdr:cNvPr>
        <xdr:cNvSpPr txBox="1"/>
      </xdr:nvSpPr>
      <xdr:spPr>
        <a:xfrm>
          <a:off x="4114800" y="2295525"/>
          <a:ext cx="1276350" cy="30480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rPr>
            <a:t>Country </a:t>
          </a:r>
        </a:p>
      </xdr:txBody>
    </xdr:sp>
    <xdr:clientData/>
  </xdr:oneCellAnchor>
  <xdr:oneCellAnchor>
    <xdr:from>
      <xdr:col>12</xdr:col>
      <xdr:colOff>590550</xdr:colOff>
      <xdr:row>14</xdr:row>
      <xdr:rowOff>47625</xdr:rowOff>
    </xdr:from>
    <xdr:ext cx="1276350" cy="304800"/>
    <xdr:sp macro="" textlink="">
      <xdr:nvSpPr>
        <xdr:cNvPr id="23" name="TextBox 22">
          <a:extLst>
            <a:ext uri="{FF2B5EF4-FFF2-40B4-BE49-F238E27FC236}">
              <a16:creationId xmlns:a16="http://schemas.microsoft.com/office/drawing/2014/main" id="{5C7272E7-F668-47E8-A514-1A7BE8C4C641}"/>
            </a:ext>
          </a:extLst>
        </xdr:cNvPr>
        <xdr:cNvSpPr txBox="1"/>
      </xdr:nvSpPr>
      <xdr:spPr>
        <a:xfrm>
          <a:off x="7905750" y="2314575"/>
          <a:ext cx="1276350" cy="30480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rPr>
            <a:t>Segment </a:t>
          </a:r>
        </a:p>
      </xdr:txBody>
    </xdr:sp>
    <xdr:clientData/>
  </xdr:oneCellAnchor>
  <xdr:oneCellAnchor>
    <xdr:from>
      <xdr:col>1</xdr:col>
      <xdr:colOff>276225</xdr:colOff>
      <xdr:row>14</xdr:row>
      <xdr:rowOff>57150</xdr:rowOff>
    </xdr:from>
    <xdr:ext cx="1276350" cy="304800"/>
    <xdr:sp macro="" textlink="">
      <xdr:nvSpPr>
        <xdr:cNvPr id="24" name="TextBox 23">
          <a:extLst>
            <a:ext uri="{FF2B5EF4-FFF2-40B4-BE49-F238E27FC236}">
              <a16:creationId xmlns:a16="http://schemas.microsoft.com/office/drawing/2014/main" id="{088BBD32-4956-461B-BBDA-D554C0B7BB47}"/>
            </a:ext>
          </a:extLst>
        </xdr:cNvPr>
        <xdr:cNvSpPr txBox="1"/>
      </xdr:nvSpPr>
      <xdr:spPr>
        <a:xfrm>
          <a:off x="885825" y="2324100"/>
          <a:ext cx="1276350" cy="30480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rPr>
            <a:t>Market</a:t>
          </a:r>
        </a:p>
      </xdr:txBody>
    </xdr:sp>
    <xdr:clientData/>
  </xdr:oneCellAnchor>
  <xdr:oneCellAnchor>
    <xdr:from>
      <xdr:col>1</xdr:col>
      <xdr:colOff>295275</xdr:colOff>
      <xdr:row>2</xdr:row>
      <xdr:rowOff>152401</xdr:rowOff>
    </xdr:from>
    <xdr:ext cx="1276350" cy="304800"/>
    <xdr:sp macro="" textlink="">
      <xdr:nvSpPr>
        <xdr:cNvPr id="25" name="TextBox 24">
          <a:extLst>
            <a:ext uri="{FF2B5EF4-FFF2-40B4-BE49-F238E27FC236}">
              <a16:creationId xmlns:a16="http://schemas.microsoft.com/office/drawing/2014/main" id="{A5DD4819-68BB-45A5-9D19-D9D947FC5094}"/>
            </a:ext>
          </a:extLst>
        </xdr:cNvPr>
        <xdr:cNvSpPr txBox="1"/>
      </xdr:nvSpPr>
      <xdr:spPr>
        <a:xfrm>
          <a:off x="904875" y="476251"/>
          <a:ext cx="127635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IN" sz="1400">
              <a:solidFill>
                <a:schemeClr val="bg1"/>
              </a:solidFill>
            </a:rPr>
            <a:t>Profit Trend</a:t>
          </a:r>
        </a:p>
      </xdr:txBody>
    </xdr:sp>
    <xdr:clientData/>
  </xdr:oneCellAnchor>
  <xdr:oneCellAnchor>
    <xdr:from>
      <xdr:col>14</xdr:col>
      <xdr:colOff>0</xdr:colOff>
      <xdr:row>2</xdr:row>
      <xdr:rowOff>76200</xdr:rowOff>
    </xdr:from>
    <xdr:ext cx="1304925" cy="257175"/>
    <xdr:sp macro="" textlink="">
      <xdr:nvSpPr>
        <xdr:cNvPr id="26" name="TextBox 25">
          <a:extLst>
            <a:ext uri="{FF2B5EF4-FFF2-40B4-BE49-F238E27FC236}">
              <a16:creationId xmlns:a16="http://schemas.microsoft.com/office/drawing/2014/main" id="{CC902280-B5EA-4FF2-A201-6065D3FC40FC}"/>
            </a:ext>
          </a:extLst>
        </xdr:cNvPr>
        <xdr:cNvSpPr txBox="1"/>
      </xdr:nvSpPr>
      <xdr:spPr>
        <a:xfrm>
          <a:off x="8534400" y="400050"/>
          <a:ext cx="1304925" cy="257175"/>
        </a:xfrm>
        <a:prstGeom prst="rect">
          <a:avLst/>
        </a:prstGeom>
        <a:noFill/>
        <a:ln>
          <a:noFill/>
        </a:ln>
        <a:effectLst/>
      </xdr:spPr>
      <xdr:txBody>
        <a:bodyPr vertOverflow="clip" horzOverflow="clip" wrap="non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rPr>
            <a:t>Discount</a:t>
          </a:r>
        </a:p>
      </xdr:txBody>
    </xdr:sp>
    <xdr:clientData/>
  </xdr:oneCellAnchor>
  <xdr:twoCellAnchor>
    <xdr:from>
      <xdr:col>9</xdr:col>
      <xdr:colOff>409574</xdr:colOff>
      <xdr:row>2</xdr:row>
      <xdr:rowOff>152401</xdr:rowOff>
    </xdr:from>
    <xdr:to>
      <xdr:col>13</xdr:col>
      <xdr:colOff>523875</xdr:colOff>
      <xdr:row>14</xdr:row>
      <xdr:rowOff>1</xdr:rowOff>
    </xdr:to>
    <xdr:graphicFrame macro="">
      <xdr:nvGraphicFramePr>
        <xdr:cNvPr id="30" name="Chart 29">
          <a:extLst>
            <a:ext uri="{FF2B5EF4-FFF2-40B4-BE49-F238E27FC236}">
              <a16:creationId xmlns:a16="http://schemas.microsoft.com/office/drawing/2014/main" id="{9E2AFC04-FB7C-4035-9D18-DF406225A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66675</xdr:colOff>
      <xdr:row>15</xdr:row>
      <xdr:rowOff>95250</xdr:rowOff>
    </xdr:from>
    <xdr:to>
      <xdr:col>12</xdr:col>
      <xdr:colOff>419100</xdr:colOff>
      <xdr:row>24</xdr:row>
      <xdr:rowOff>85725</xdr:rowOff>
    </xdr:to>
    <xdr:graphicFrame macro="">
      <xdr:nvGraphicFramePr>
        <xdr:cNvPr id="32" name="CountryProfit">
          <a:extLst>
            <a:ext uri="{FF2B5EF4-FFF2-40B4-BE49-F238E27FC236}">
              <a16:creationId xmlns:a16="http://schemas.microsoft.com/office/drawing/2014/main" id="{1E6A4D20-5A85-463D-B0BA-B24272E4E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9525</xdr:colOff>
      <xdr:row>15</xdr:row>
      <xdr:rowOff>114299</xdr:rowOff>
    </xdr:from>
    <xdr:to>
      <xdr:col>18</xdr:col>
      <xdr:colOff>238125</xdr:colOff>
      <xdr:row>24</xdr:row>
      <xdr:rowOff>104775</xdr:rowOff>
    </xdr:to>
    <xdr:graphicFrame macro="">
      <xdr:nvGraphicFramePr>
        <xdr:cNvPr id="33" name="Chart 32">
          <a:extLst>
            <a:ext uri="{FF2B5EF4-FFF2-40B4-BE49-F238E27FC236}">
              <a16:creationId xmlns:a16="http://schemas.microsoft.com/office/drawing/2014/main" id="{8A25926A-59DF-4F86-B72E-20416BEBAD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66674</xdr:colOff>
      <xdr:row>3</xdr:row>
      <xdr:rowOff>85725</xdr:rowOff>
    </xdr:from>
    <xdr:to>
      <xdr:col>18</xdr:col>
      <xdr:colOff>247649</xdr:colOff>
      <xdr:row>13</xdr:row>
      <xdr:rowOff>85725</xdr:rowOff>
    </xdr:to>
    <xdr:graphicFrame macro="">
      <xdr:nvGraphicFramePr>
        <xdr:cNvPr id="34" name="Chart 33">
          <a:extLst>
            <a:ext uri="{FF2B5EF4-FFF2-40B4-BE49-F238E27FC236}">
              <a16:creationId xmlns:a16="http://schemas.microsoft.com/office/drawing/2014/main" id="{3B406FF8-60D4-4BA5-87B0-54F9C91EA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323851</xdr:colOff>
      <xdr:row>2</xdr:row>
      <xdr:rowOff>142875</xdr:rowOff>
    </xdr:from>
    <xdr:to>
      <xdr:col>9</xdr:col>
      <xdr:colOff>276225</xdr:colOff>
      <xdr:row>13</xdr:row>
      <xdr:rowOff>85725</xdr:rowOff>
    </xdr:to>
    <xdr:graphicFrame macro="">
      <xdr:nvGraphicFramePr>
        <xdr:cNvPr id="35" name="Chart 34">
          <a:extLst>
            <a:ext uri="{FF2B5EF4-FFF2-40B4-BE49-F238E27FC236}">
              <a16:creationId xmlns:a16="http://schemas.microsoft.com/office/drawing/2014/main" id="{010BB825-050C-46FE-8DC3-1A878F86C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323850</xdr:colOff>
      <xdr:row>14</xdr:row>
      <xdr:rowOff>104775</xdr:rowOff>
    </xdr:from>
    <xdr:to>
      <xdr:col>6</xdr:col>
      <xdr:colOff>342900</xdr:colOff>
      <xdr:row>24</xdr:row>
      <xdr:rowOff>76200</xdr:rowOff>
    </xdr:to>
    <xdr:graphicFrame macro="">
      <xdr:nvGraphicFramePr>
        <xdr:cNvPr id="37" name="Chart 36">
          <a:extLst>
            <a:ext uri="{FF2B5EF4-FFF2-40B4-BE49-F238E27FC236}">
              <a16:creationId xmlns:a16="http://schemas.microsoft.com/office/drawing/2014/main" id="{BB81815E-ECF2-4764-9755-800F269EE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38100</xdr:colOff>
      <xdr:row>0</xdr:row>
      <xdr:rowOff>66675</xdr:rowOff>
    </xdr:from>
    <xdr:to>
      <xdr:col>18</xdr:col>
      <xdr:colOff>323850</xdr:colOff>
      <xdr:row>2</xdr:row>
      <xdr:rowOff>57150</xdr:rowOff>
    </xdr:to>
    <xdr:sp macro="" textlink="">
      <xdr:nvSpPr>
        <xdr:cNvPr id="29" name="Arrow: Right 28">
          <a:hlinkClick xmlns:r="http://schemas.openxmlformats.org/officeDocument/2006/relationships" r:id="rId9"/>
          <a:extLst>
            <a:ext uri="{FF2B5EF4-FFF2-40B4-BE49-F238E27FC236}">
              <a16:creationId xmlns:a16="http://schemas.microsoft.com/office/drawing/2014/main" id="{E98BC642-BC88-4003-BD70-87AC1A60A942}"/>
            </a:ext>
          </a:extLst>
        </xdr:cNvPr>
        <xdr:cNvSpPr/>
      </xdr:nvSpPr>
      <xdr:spPr>
        <a:xfrm>
          <a:off x="11010900" y="66675"/>
          <a:ext cx="285750" cy="314325"/>
        </a:xfrm>
        <a:prstGeom prst="rightArrow">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xdr:col>
      <xdr:colOff>190499</xdr:colOff>
      <xdr:row>0</xdr:row>
      <xdr:rowOff>0</xdr:rowOff>
    </xdr:from>
    <xdr:to>
      <xdr:col>1</xdr:col>
      <xdr:colOff>476249</xdr:colOff>
      <xdr:row>1</xdr:row>
      <xdr:rowOff>152400</xdr:rowOff>
    </xdr:to>
    <xdr:sp macro="" textlink="">
      <xdr:nvSpPr>
        <xdr:cNvPr id="36" name="Arrow: Right 35">
          <a:hlinkClick xmlns:r="http://schemas.openxmlformats.org/officeDocument/2006/relationships" r:id="rId10"/>
          <a:extLst>
            <a:ext uri="{FF2B5EF4-FFF2-40B4-BE49-F238E27FC236}">
              <a16:creationId xmlns:a16="http://schemas.microsoft.com/office/drawing/2014/main" id="{2498DD39-4359-4CE2-9102-B1EA7F0C9726}"/>
            </a:ext>
          </a:extLst>
        </xdr:cNvPr>
        <xdr:cNvSpPr/>
      </xdr:nvSpPr>
      <xdr:spPr>
        <a:xfrm flipH="1">
          <a:off x="800099" y="0"/>
          <a:ext cx="285750" cy="314325"/>
        </a:xfrm>
        <a:prstGeom prst="rightArrow">
          <a:avLst/>
        </a:prstGeom>
        <a:solidFill>
          <a:schemeClr val="bg1">
            <a:alpha val="2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285750</xdr:colOff>
      <xdr:row>0</xdr:row>
      <xdr:rowOff>57150</xdr:rowOff>
    </xdr:from>
    <xdr:to>
      <xdr:col>17</xdr:col>
      <xdr:colOff>573750</xdr:colOff>
      <xdr:row>2</xdr:row>
      <xdr:rowOff>21300</xdr:rowOff>
    </xdr:to>
    <xdr:pic>
      <xdr:nvPicPr>
        <xdr:cNvPr id="39" name="Graphic 38" descr="Home">
          <a:hlinkClick xmlns:r="http://schemas.openxmlformats.org/officeDocument/2006/relationships" r:id="rId11"/>
          <a:extLst>
            <a:ext uri="{FF2B5EF4-FFF2-40B4-BE49-F238E27FC236}">
              <a16:creationId xmlns:a16="http://schemas.microsoft.com/office/drawing/2014/main" id="{AB3A1F1F-D20C-401E-BA3D-88643427065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648950" y="57150"/>
          <a:ext cx="288000" cy="288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xdr:colOff>
      <xdr:row>27</xdr:row>
      <xdr:rowOff>9526</xdr:rowOff>
    </xdr:from>
    <xdr:to>
      <xdr:col>18</xdr:col>
      <xdr:colOff>438149</xdr:colOff>
      <xdr:row>30</xdr:row>
      <xdr:rowOff>63751</xdr:rowOff>
    </xdr:to>
    <mc:AlternateContent xmlns:mc="http://schemas.openxmlformats.org/markup-compatibility/2006" xmlns:a14="http://schemas.microsoft.com/office/drawing/2010/main">
      <mc:Choice Requires="a14">
        <xdr:graphicFrame macro="">
          <xdr:nvGraphicFramePr>
            <xdr:cNvPr id="6" name="Product 7">
              <a:extLst>
                <a:ext uri="{FF2B5EF4-FFF2-40B4-BE49-F238E27FC236}">
                  <a16:creationId xmlns:a16="http://schemas.microsoft.com/office/drawing/2014/main" id="{A77A6BCB-02D5-438C-9DAB-974272492F55}"/>
                </a:ext>
              </a:extLst>
            </xdr:cNvPr>
            <xdr:cNvGraphicFramePr/>
          </xdr:nvGraphicFramePr>
          <xdr:xfrm>
            <a:off x="0" y="0"/>
            <a:ext cx="0" cy="0"/>
          </xdr:xfrm>
          <a:graphic>
            <a:graphicData uri="http://schemas.microsoft.com/office/drawing/2010/slicer">
              <sle:slicer xmlns:sle="http://schemas.microsoft.com/office/drawing/2010/slicer" name="Product 7"/>
            </a:graphicData>
          </a:graphic>
        </xdr:graphicFrame>
      </mc:Choice>
      <mc:Fallback xmlns="">
        <xdr:sp macro="" textlink="">
          <xdr:nvSpPr>
            <xdr:cNvPr id="0" name=""/>
            <xdr:cNvSpPr>
              <a:spLocks noTextEdit="1"/>
            </xdr:cNvSpPr>
          </xdr:nvSpPr>
          <xdr:spPr>
            <a:xfrm>
              <a:off x="628650" y="4381501"/>
              <a:ext cx="10782299" cy="5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0</xdr:colOff>
      <xdr:row>63</xdr:row>
      <xdr:rowOff>0</xdr:rowOff>
    </xdr:from>
    <xdr:to>
      <xdr:col>9</xdr:col>
      <xdr:colOff>304800</xdr:colOff>
      <xdr:row>79</xdr:row>
      <xdr:rowOff>152400</xdr:rowOff>
    </xdr:to>
    <xdr:graphicFrame macro="">
      <xdr:nvGraphicFramePr>
        <xdr:cNvPr id="2" name="Chart 1">
          <a:extLst>
            <a:ext uri="{FF2B5EF4-FFF2-40B4-BE49-F238E27FC236}">
              <a16:creationId xmlns:a16="http://schemas.microsoft.com/office/drawing/2014/main" id="{68517F98-5E05-4005-83BA-024693253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9524</xdr:colOff>
      <xdr:row>0</xdr:row>
      <xdr:rowOff>0</xdr:rowOff>
    </xdr:from>
    <xdr:to>
      <xdr:col>19</xdr:col>
      <xdr:colOff>379124</xdr:colOff>
      <xdr:row>2</xdr:row>
      <xdr:rowOff>57150</xdr:rowOff>
    </xdr:to>
    <xdr:sp macro="" textlink="">
      <xdr:nvSpPr>
        <xdr:cNvPr id="3" name="Rectangle 2">
          <a:extLst>
            <a:ext uri="{FF2B5EF4-FFF2-40B4-BE49-F238E27FC236}">
              <a16:creationId xmlns:a16="http://schemas.microsoft.com/office/drawing/2014/main" id="{25654258-C41F-40EE-94F7-819AD3380E6D}"/>
            </a:ext>
          </a:extLst>
        </xdr:cNvPr>
        <xdr:cNvSpPr/>
      </xdr:nvSpPr>
      <xdr:spPr>
        <a:xfrm>
          <a:off x="9524" y="0"/>
          <a:ext cx="11952000" cy="381000"/>
        </a:xfrm>
        <a:prstGeom prst="rect">
          <a:avLst/>
        </a:prstGeom>
        <a:gradFill>
          <a:gsLst>
            <a:gs pos="0">
              <a:schemeClr val="tx1"/>
            </a:gs>
            <a:gs pos="100000">
              <a:srgbClr val="800080"/>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t>Conclusions</a:t>
          </a:r>
        </a:p>
      </xdr:txBody>
    </xdr:sp>
    <xdr:clientData/>
  </xdr:twoCellAnchor>
  <xdr:twoCellAnchor editAs="oneCell">
    <xdr:from>
      <xdr:col>0</xdr:col>
      <xdr:colOff>66675</xdr:colOff>
      <xdr:row>0</xdr:row>
      <xdr:rowOff>57150</xdr:rowOff>
    </xdr:from>
    <xdr:to>
      <xdr:col>0</xdr:col>
      <xdr:colOff>342900</xdr:colOff>
      <xdr:row>2</xdr:row>
      <xdr:rowOff>9525</xdr:rowOff>
    </xdr:to>
    <xdr:pic>
      <xdr:nvPicPr>
        <xdr:cNvPr id="4" name="Picture 3">
          <a:extLst>
            <a:ext uri="{FF2B5EF4-FFF2-40B4-BE49-F238E27FC236}">
              <a16:creationId xmlns:a16="http://schemas.microsoft.com/office/drawing/2014/main" id="{B8EF6875-4416-4FB4-96E5-F717D10A0E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57150"/>
          <a:ext cx="276225" cy="276225"/>
        </a:xfrm>
        <a:prstGeom prst="rect">
          <a:avLst/>
        </a:prstGeom>
      </xdr:spPr>
    </xdr:pic>
    <xdr:clientData/>
  </xdr:twoCellAnchor>
  <xdr:twoCellAnchor>
    <xdr:from>
      <xdr:col>1</xdr:col>
      <xdr:colOff>190499</xdr:colOff>
      <xdr:row>0</xdr:row>
      <xdr:rowOff>0</xdr:rowOff>
    </xdr:from>
    <xdr:to>
      <xdr:col>1</xdr:col>
      <xdr:colOff>476249</xdr:colOff>
      <xdr:row>1</xdr:row>
      <xdr:rowOff>152400</xdr:rowOff>
    </xdr:to>
    <xdr:sp macro="" textlink="">
      <xdr:nvSpPr>
        <xdr:cNvPr id="10" name="Arrow: Right 9">
          <a:hlinkClick xmlns:r="http://schemas.openxmlformats.org/officeDocument/2006/relationships" r:id="rId3"/>
          <a:extLst>
            <a:ext uri="{FF2B5EF4-FFF2-40B4-BE49-F238E27FC236}">
              <a16:creationId xmlns:a16="http://schemas.microsoft.com/office/drawing/2014/main" id="{164CB998-FB00-4F6B-A91D-BF13397D5323}"/>
            </a:ext>
          </a:extLst>
        </xdr:cNvPr>
        <xdr:cNvSpPr/>
      </xdr:nvSpPr>
      <xdr:spPr>
        <a:xfrm flipH="1">
          <a:off x="800099" y="0"/>
          <a:ext cx="285750" cy="314325"/>
        </a:xfrm>
        <a:prstGeom prst="rightArrow">
          <a:avLst/>
        </a:prstGeom>
        <a:solidFill>
          <a:schemeClr val="bg1">
            <a:alpha val="2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18</xdr:col>
      <xdr:colOff>66675</xdr:colOff>
      <xdr:row>0</xdr:row>
      <xdr:rowOff>57150</xdr:rowOff>
    </xdr:from>
    <xdr:to>
      <xdr:col>18</xdr:col>
      <xdr:colOff>354675</xdr:colOff>
      <xdr:row>2</xdr:row>
      <xdr:rowOff>21300</xdr:rowOff>
    </xdr:to>
    <xdr:pic>
      <xdr:nvPicPr>
        <xdr:cNvPr id="11" name="Graphic 10" descr="Home">
          <a:hlinkClick xmlns:r="http://schemas.openxmlformats.org/officeDocument/2006/relationships" r:id="rId4"/>
          <a:extLst>
            <a:ext uri="{FF2B5EF4-FFF2-40B4-BE49-F238E27FC236}">
              <a16:creationId xmlns:a16="http://schemas.microsoft.com/office/drawing/2014/main" id="{4FF21329-FB7D-41C8-B41D-A34C58FB10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039475" y="57150"/>
          <a:ext cx="288000" cy="288000"/>
        </a:xfrm>
        <a:prstGeom prst="rect">
          <a:avLst/>
        </a:prstGeom>
      </xdr:spPr>
    </xdr:pic>
    <xdr:clientData/>
  </xdr:twoCellAnchor>
  <xdr:twoCellAnchor>
    <xdr:from>
      <xdr:col>1</xdr:col>
      <xdr:colOff>9526</xdr:colOff>
      <xdr:row>3</xdr:row>
      <xdr:rowOff>19049</xdr:rowOff>
    </xdr:from>
    <xdr:to>
      <xdr:col>18</xdr:col>
      <xdr:colOff>485776</xdr:colOff>
      <xdr:row>26</xdr:row>
      <xdr:rowOff>104775</xdr:rowOff>
    </xdr:to>
    <xdr:sp macro="" textlink="">
      <xdr:nvSpPr>
        <xdr:cNvPr id="12" name="Freeform: Shape 11">
          <a:extLst>
            <a:ext uri="{FF2B5EF4-FFF2-40B4-BE49-F238E27FC236}">
              <a16:creationId xmlns:a16="http://schemas.microsoft.com/office/drawing/2014/main" id="{1B7989D0-311D-4B7B-90EA-43530081F3AA}"/>
            </a:ext>
          </a:extLst>
        </xdr:cNvPr>
        <xdr:cNvSpPr/>
      </xdr:nvSpPr>
      <xdr:spPr>
        <a:xfrm>
          <a:off x="619126" y="504824"/>
          <a:ext cx="10839450" cy="3810001"/>
        </a:xfrm>
        <a:custGeom>
          <a:avLst/>
          <a:gdLst>
            <a:gd name="connsiteX0" fmla="*/ 8679266 w 10799999"/>
            <a:gd name="connsiteY0" fmla="*/ 2890570 h 5432895"/>
            <a:gd name="connsiteX1" fmla="*/ 10799999 w 10799999"/>
            <a:gd name="connsiteY1" fmla="*/ 2890570 h 5432895"/>
            <a:gd name="connsiteX2" fmla="*/ 10799999 w 10799999"/>
            <a:gd name="connsiteY2" fmla="*/ 5432895 h 5432895"/>
            <a:gd name="connsiteX3" fmla="*/ 8679266 w 10799999"/>
            <a:gd name="connsiteY3" fmla="*/ 5432895 h 5432895"/>
            <a:gd name="connsiteX4" fmla="*/ 6527391 w 10799999"/>
            <a:gd name="connsiteY4" fmla="*/ 2890570 h 5432895"/>
            <a:gd name="connsiteX5" fmla="*/ 8526450 w 10799999"/>
            <a:gd name="connsiteY5" fmla="*/ 2890570 h 5432895"/>
            <a:gd name="connsiteX6" fmla="*/ 8526450 w 10799999"/>
            <a:gd name="connsiteY6" fmla="*/ 5432895 h 5432895"/>
            <a:gd name="connsiteX7" fmla="*/ 6527391 w 10799999"/>
            <a:gd name="connsiteY7" fmla="*/ 5432895 h 5432895"/>
            <a:gd name="connsiteX8" fmla="*/ 4355154 w 10799999"/>
            <a:gd name="connsiteY8" fmla="*/ 2890570 h 5432895"/>
            <a:gd name="connsiteX9" fmla="*/ 6374574 w 10799999"/>
            <a:gd name="connsiteY9" fmla="*/ 2890570 h 5432895"/>
            <a:gd name="connsiteX10" fmla="*/ 6374574 w 10799999"/>
            <a:gd name="connsiteY10" fmla="*/ 5432895 h 5432895"/>
            <a:gd name="connsiteX11" fmla="*/ 4355154 w 10799999"/>
            <a:gd name="connsiteY11" fmla="*/ 5432895 h 5432895"/>
            <a:gd name="connsiteX12" fmla="*/ 2177578 w 10799999"/>
            <a:gd name="connsiteY12" fmla="*/ 2890570 h 5432895"/>
            <a:gd name="connsiteX13" fmla="*/ 4202337 w 10799999"/>
            <a:gd name="connsiteY13" fmla="*/ 2890570 h 5432895"/>
            <a:gd name="connsiteX14" fmla="*/ 4202337 w 10799999"/>
            <a:gd name="connsiteY14" fmla="*/ 5432895 h 5432895"/>
            <a:gd name="connsiteX15" fmla="*/ 2177578 w 10799999"/>
            <a:gd name="connsiteY15" fmla="*/ 5432895 h 5432895"/>
            <a:gd name="connsiteX16" fmla="*/ 0 w 10799999"/>
            <a:gd name="connsiteY16" fmla="*/ 2890570 h 5432895"/>
            <a:gd name="connsiteX17" fmla="*/ 2024761 w 10799999"/>
            <a:gd name="connsiteY17" fmla="*/ 2890570 h 5432895"/>
            <a:gd name="connsiteX18" fmla="*/ 2024761 w 10799999"/>
            <a:gd name="connsiteY18" fmla="*/ 5432895 h 5432895"/>
            <a:gd name="connsiteX19" fmla="*/ 0 w 10799999"/>
            <a:gd name="connsiteY19" fmla="*/ 5432895 h 5432895"/>
            <a:gd name="connsiteX20" fmla="*/ 8295738 w 10799999"/>
            <a:gd name="connsiteY20" fmla="*/ 0 h 5432895"/>
            <a:gd name="connsiteX21" fmla="*/ 10799999 w 10799999"/>
            <a:gd name="connsiteY21" fmla="*/ 0 h 5432895"/>
            <a:gd name="connsiteX22" fmla="*/ 10799999 w 10799999"/>
            <a:gd name="connsiteY22" fmla="*/ 2737753 h 5432895"/>
            <a:gd name="connsiteX23" fmla="*/ 8295738 w 10799999"/>
            <a:gd name="connsiteY23" fmla="*/ 2737753 h 5432895"/>
            <a:gd name="connsiteX24" fmla="*/ 5381190 w 10799999"/>
            <a:gd name="connsiteY24" fmla="*/ 0 h 5432895"/>
            <a:gd name="connsiteX25" fmla="*/ 8142922 w 10799999"/>
            <a:gd name="connsiteY25" fmla="*/ 0 h 5432895"/>
            <a:gd name="connsiteX26" fmla="*/ 8142922 w 10799999"/>
            <a:gd name="connsiteY26" fmla="*/ 2737753 h 5432895"/>
            <a:gd name="connsiteX27" fmla="*/ 5381190 w 10799999"/>
            <a:gd name="connsiteY27" fmla="*/ 2737753 h 5432895"/>
            <a:gd name="connsiteX28" fmla="*/ 0 w 10799999"/>
            <a:gd name="connsiteY28" fmla="*/ 0 h 5432895"/>
            <a:gd name="connsiteX29" fmla="*/ 5228373 w 10799999"/>
            <a:gd name="connsiteY29" fmla="*/ 0 h 5432895"/>
            <a:gd name="connsiteX30" fmla="*/ 5228373 w 10799999"/>
            <a:gd name="connsiteY30" fmla="*/ 2737753 h 5432895"/>
            <a:gd name="connsiteX31" fmla="*/ 4355154 w 10799999"/>
            <a:gd name="connsiteY31" fmla="*/ 2737753 h 5432895"/>
            <a:gd name="connsiteX32" fmla="*/ 4355154 w 10799999"/>
            <a:gd name="connsiteY32" fmla="*/ 2737753 h 5432895"/>
            <a:gd name="connsiteX33" fmla="*/ 4202337 w 10799999"/>
            <a:gd name="connsiteY33" fmla="*/ 2737753 h 5432895"/>
            <a:gd name="connsiteX34" fmla="*/ 4202337 w 10799999"/>
            <a:gd name="connsiteY34" fmla="*/ 2737753 h 5432895"/>
            <a:gd name="connsiteX35" fmla="*/ 0 w 10799999"/>
            <a:gd name="connsiteY35" fmla="*/ 2737753 h 54328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Lst>
          <a:rect l="l" t="t" r="r" b="b"/>
          <a:pathLst>
            <a:path w="10799999" h="5432895">
              <a:moveTo>
                <a:pt x="8679266" y="2890570"/>
              </a:moveTo>
              <a:lnTo>
                <a:pt x="10799999" y="2890570"/>
              </a:lnTo>
              <a:lnTo>
                <a:pt x="10799999" y="5432895"/>
              </a:lnTo>
              <a:lnTo>
                <a:pt x="8679266" y="5432895"/>
              </a:lnTo>
              <a:close/>
              <a:moveTo>
                <a:pt x="6527391" y="2890570"/>
              </a:moveTo>
              <a:lnTo>
                <a:pt x="8526450" y="2890570"/>
              </a:lnTo>
              <a:lnTo>
                <a:pt x="8526450" y="5432895"/>
              </a:lnTo>
              <a:lnTo>
                <a:pt x="6527391" y="5432895"/>
              </a:lnTo>
              <a:close/>
              <a:moveTo>
                <a:pt x="4355154" y="2890570"/>
              </a:moveTo>
              <a:lnTo>
                <a:pt x="6374574" y="2890570"/>
              </a:lnTo>
              <a:lnTo>
                <a:pt x="6374574" y="5432895"/>
              </a:lnTo>
              <a:lnTo>
                <a:pt x="4355154" y="5432895"/>
              </a:lnTo>
              <a:close/>
              <a:moveTo>
                <a:pt x="2177578" y="2890570"/>
              </a:moveTo>
              <a:lnTo>
                <a:pt x="4202337" y="2890570"/>
              </a:lnTo>
              <a:lnTo>
                <a:pt x="4202337" y="5432895"/>
              </a:lnTo>
              <a:lnTo>
                <a:pt x="2177578" y="5432895"/>
              </a:lnTo>
              <a:close/>
              <a:moveTo>
                <a:pt x="0" y="2890570"/>
              </a:moveTo>
              <a:lnTo>
                <a:pt x="2024761" y="2890570"/>
              </a:lnTo>
              <a:lnTo>
                <a:pt x="2024761" y="5432895"/>
              </a:lnTo>
              <a:lnTo>
                <a:pt x="0" y="5432895"/>
              </a:lnTo>
              <a:close/>
              <a:moveTo>
                <a:pt x="8295738" y="0"/>
              </a:moveTo>
              <a:lnTo>
                <a:pt x="10799999" y="0"/>
              </a:lnTo>
              <a:lnTo>
                <a:pt x="10799999" y="2737753"/>
              </a:lnTo>
              <a:lnTo>
                <a:pt x="8295738" y="2737753"/>
              </a:lnTo>
              <a:close/>
              <a:moveTo>
                <a:pt x="5381190" y="0"/>
              </a:moveTo>
              <a:lnTo>
                <a:pt x="8142922" y="0"/>
              </a:lnTo>
              <a:lnTo>
                <a:pt x="8142922" y="2737753"/>
              </a:lnTo>
              <a:lnTo>
                <a:pt x="5381190" y="2737753"/>
              </a:lnTo>
              <a:close/>
              <a:moveTo>
                <a:pt x="0" y="0"/>
              </a:moveTo>
              <a:lnTo>
                <a:pt x="5228373" y="0"/>
              </a:lnTo>
              <a:lnTo>
                <a:pt x="5228373" y="2737753"/>
              </a:lnTo>
              <a:lnTo>
                <a:pt x="4355154" y="2737753"/>
              </a:lnTo>
              <a:lnTo>
                <a:pt x="4355154" y="2737753"/>
              </a:lnTo>
              <a:lnTo>
                <a:pt x="4202337" y="2737753"/>
              </a:lnTo>
              <a:lnTo>
                <a:pt x="4202337" y="2737753"/>
              </a:lnTo>
              <a:lnTo>
                <a:pt x="0" y="2737753"/>
              </a:lnTo>
              <a:close/>
            </a:path>
          </a:pathLst>
        </a:custGeom>
        <a:gradFill>
          <a:gsLst>
            <a:gs pos="0">
              <a:sysClr val="windowText" lastClr="000000">
                <a:alpha val="80000"/>
              </a:sysClr>
            </a:gs>
            <a:gs pos="100000">
              <a:srgbClr val="820082"/>
            </a:gs>
          </a:gsLst>
          <a:lin ang="0" scaled="0"/>
        </a:grad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IN"/>
        </a:p>
      </xdr:txBody>
    </xdr:sp>
    <xdr:clientData/>
  </xdr:twoCellAnchor>
  <xdr:twoCellAnchor>
    <xdr:from>
      <xdr:col>4</xdr:col>
      <xdr:colOff>361950</xdr:colOff>
      <xdr:row>15</xdr:row>
      <xdr:rowOff>57150</xdr:rowOff>
    </xdr:from>
    <xdr:to>
      <xdr:col>7</xdr:col>
      <xdr:colOff>600075</xdr:colOff>
      <xdr:row>16</xdr:row>
      <xdr:rowOff>152400</xdr:rowOff>
    </xdr:to>
    <xdr:grpSp>
      <xdr:nvGrpSpPr>
        <xdr:cNvPr id="13" name="Group 12">
          <a:extLst>
            <a:ext uri="{FF2B5EF4-FFF2-40B4-BE49-F238E27FC236}">
              <a16:creationId xmlns:a16="http://schemas.microsoft.com/office/drawing/2014/main" id="{4F3C00B1-57D3-4737-969E-9145825AE421}"/>
            </a:ext>
          </a:extLst>
        </xdr:cNvPr>
        <xdr:cNvGrpSpPr/>
      </xdr:nvGrpSpPr>
      <xdr:grpSpPr>
        <a:xfrm>
          <a:off x="2800350" y="2486025"/>
          <a:ext cx="2066925" cy="257175"/>
          <a:chOff x="7981950" y="3267075"/>
          <a:chExt cx="1276350" cy="257175"/>
        </a:xfrm>
      </xdr:grpSpPr>
      <xdr:sp macro="" textlink="">
        <xdr:nvSpPr>
          <xdr:cNvPr id="14" name="Rectangle: Rounded Corners 13">
            <a:extLst>
              <a:ext uri="{FF2B5EF4-FFF2-40B4-BE49-F238E27FC236}">
                <a16:creationId xmlns:a16="http://schemas.microsoft.com/office/drawing/2014/main" id="{5AB224AC-C714-4F16-9F08-CA5BB587C090}"/>
              </a:ext>
            </a:extLst>
          </xdr:cNvPr>
          <xdr:cNvSpPr/>
        </xdr:nvSpPr>
        <xdr:spPr>
          <a:xfrm>
            <a:off x="7981950" y="3314700"/>
            <a:ext cx="1276350" cy="209550"/>
          </a:xfrm>
          <a:prstGeom prst="roundRect">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15" name="TextBox 14">
            <a:extLst>
              <a:ext uri="{FF2B5EF4-FFF2-40B4-BE49-F238E27FC236}">
                <a16:creationId xmlns:a16="http://schemas.microsoft.com/office/drawing/2014/main" id="{FC5D149A-B3BF-459B-A9B0-0537F49F4F1C}"/>
              </a:ext>
            </a:extLst>
          </xdr:cNvPr>
          <xdr:cNvSpPr txBox="1"/>
        </xdr:nvSpPr>
        <xdr:spPr>
          <a:xfrm>
            <a:off x="8039099" y="3267075"/>
            <a:ext cx="1133475" cy="24765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mn-lt"/>
                <a:ea typeface="+mn-ea"/>
                <a:cs typeface="+mn-cs"/>
              </a:rPr>
              <a:t>Montana Performance</a:t>
            </a:r>
          </a:p>
        </xdr:txBody>
      </xdr:sp>
    </xdr:grpSp>
    <xdr:clientData/>
  </xdr:twoCellAnchor>
  <xdr:twoCellAnchor>
    <xdr:from>
      <xdr:col>15</xdr:col>
      <xdr:colOff>110742</xdr:colOff>
      <xdr:row>15</xdr:row>
      <xdr:rowOff>38100</xdr:rowOff>
    </xdr:from>
    <xdr:to>
      <xdr:col>18</xdr:col>
      <xdr:colOff>476250</xdr:colOff>
      <xdr:row>17</xdr:row>
      <xdr:rowOff>0</xdr:rowOff>
    </xdr:to>
    <xdr:grpSp>
      <xdr:nvGrpSpPr>
        <xdr:cNvPr id="16" name="Group 15">
          <a:extLst>
            <a:ext uri="{FF2B5EF4-FFF2-40B4-BE49-F238E27FC236}">
              <a16:creationId xmlns:a16="http://schemas.microsoft.com/office/drawing/2014/main" id="{F96CAF45-78A4-4F4C-BE6F-3E9BD2C72482}"/>
            </a:ext>
          </a:extLst>
        </xdr:cNvPr>
        <xdr:cNvGrpSpPr/>
      </xdr:nvGrpSpPr>
      <xdr:grpSpPr>
        <a:xfrm>
          <a:off x="9254742" y="2466975"/>
          <a:ext cx="2194308" cy="285750"/>
          <a:chOff x="8039099" y="3267075"/>
          <a:chExt cx="1314185" cy="257175"/>
        </a:xfrm>
      </xdr:grpSpPr>
      <xdr:sp macro="" textlink="">
        <xdr:nvSpPr>
          <xdr:cNvPr id="17" name="Rectangle: Rounded Corners 16">
            <a:extLst>
              <a:ext uri="{FF2B5EF4-FFF2-40B4-BE49-F238E27FC236}">
                <a16:creationId xmlns:a16="http://schemas.microsoft.com/office/drawing/2014/main" id="{AB9FEB9B-57B2-4AF8-AAB5-D745BB0559A8}"/>
              </a:ext>
            </a:extLst>
          </xdr:cNvPr>
          <xdr:cNvSpPr/>
        </xdr:nvSpPr>
        <xdr:spPr>
          <a:xfrm>
            <a:off x="8076934" y="3314700"/>
            <a:ext cx="1276350" cy="209550"/>
          </a:xfrm>
          <a:prstGeom prst="roundRect">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18" name="TextBox 17">
            <a:extLst>
              <a:ext uri="{FF2B5EF4-FFF2-40B4-BE49-F238E27FC236}">
                <a16:creationId xmlns:a16="http://schemas.microsoft.com/office/drawing/2014/main" id="{394A212E-EFBB-4D0E-9C86-346D2A04E73C}"/>
              </a:ext>
            </a:extLst>
          </xdr:cNvPr>
          <xdr:cNvSpPr txBox="1"/>
        </xdr:nvSpPr>
        <xdr:spPr>
          <a:xfrm>
            <a:off x="8039099" y="3267075"/>
            <a:ext cx="1133475" cy="24765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mn-lt"/>
                <a:ea typeface="+mn-ea"/>
                <a:cs typeface="+mn-cs"/>
              </a:rPr>
              <a:t>VTT Performance</a:t>
            </a:r>
          </a:p>
        </xdr:txBody>
      </xdr:sp>
    </xdr:grpSp>
    <xdr:clientData/>
  </xdr:twoCellAnchor>
  <xdr:twoCellAnchor>
    <xdr:from>
      <xdr:col>11</xdr:col>
      <xdr:colOff>476248</xdr:colOff>
      <xdr:row>15</xdr:row>
      <xdr:rowOff>66675</xdr:rowOff>
    </xdr:from>
    <xdr:to>
      <xdr:col>15</xdr:col>
      <xdr:colOff>19048</xdr:colOff>
      <xdr:row>17</xdr:row>
      <xdr:rowOff>0</xdr:rowOff>
    </xdr:to>
    <xdr:grpSp>
      <xdr:nvGrpSpPr>
        <xdr:cNvPr id="19" name="Group 18">
          <a:extLst>
            <a:ext uri="{FF2B5EF4-FFF2-40B4-BE49-F238E27FC236}">
              <a16:creationId xmlns:a16="http://schemas.microsoft.com/office/drawing/2014/main" id="{DB01A165-3DEA-4D96-9A90-6E056D6F66EC}"/>
            </a:ext>
          </a:extLst>
        </xdr:cNvPr>
        <xdr:cNvGrpSpPr/>
      </xdr:nvGrpSpPr>
      <xdr:grpSpPr>
        <a:xfrm>
          <a:off x="7181848" y="2495550"/>
          <a:ext cx="1981200" cy="257175"/>
          <a:chOff x="7981950" y="3267075"/>
          <a:chExt cx="1466745" cy="257175"/>
        </a:xfrm>
      </xdr:grpSpPr>
      <xdr:sp macro="" textlink="">
        <xdr:nvSpPr>
          <xdr:cNvPr id="20" name="Rectangle: Rounded Corners 19">
            <a:extLst>
              <a:ext uri="{FF2B5EF4-FFF2-40B4-BE49-F238E27FC236}">
                <a16:creationId xmlns:a16="http://schemas.microsoft.com/office/drawing/2014/main" id="{50C5CA9C-F459-40D4-AAC2-9D0C429244AB}"/>
              </a:ext>
            </a:extLst>
          </xdr:cNvPr>
          <xdr:cNvSpPr/>
        </xdr:nvSpPr>
        <xdr:spPr>
          <a:xfrm>
            <a:off x="7981950" y="3305175"/>
            <a:ext cx="1466745" cy="219075"/>
          </a:xfrm>
          <a:prstGeom prst="roundRect">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1" name="TextBox 20">
            <a:extLst>
              <a:ext uri="{FF2B5EF4-FFF2-40B4-BE49-F238E27FC236}">
                <a16:creationId xmlns:a16="http://schemas.microsoft.com/office/drawing/2014/main" id="{062BF472-308E-4563-9262-A944D04FC62F}"/>
              </a:ext>
            </a:extLst>
          </xdr:cNvPr>
          <xdr:cNvSpPr txBox="1"/>
        </xdr:nvSpPr>
        <xdr:spPr>
          <a:xfrm>
            <a:off x="8039099" y="3267075"/>
            <a:ext cx="1133475" cy="24765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mn-lt"/>
                <a:ea typeface="+mn-ea"/>
                <a:cs typeface="+mn-cs"/>
              </a:rPr>
              <a:t>Velo Performance</a:t>
            </a:r>
          </a:p>
        </xdr:txBody>
      </xdr:sp>
    </xdr:grpSp>
    <xdr:clientData/>
  </xdr:twoCellAnchor>
  <xdr:twoCellAnchor>
    <xdr:from>
      <xdr:col>0</xdr:col>
      <xdr:colOff>609577</xdr:colOff>
      <xdr:row>15</xdr:row>
      <xdr:rowOff>76200</xdr:rowOff>
    </xdr:from>
    <xdr:to>
      <xdr:col>4</xdr:col>
      <xdr:colOff>247650</xdr:colOff>
      <xdr:row>17</xdr:row>
      <xdr:rowOff>9525</xdr:rowOff>
    </xdr:to>
    <xdr:grpSp>
      <xdr:nvGrpSpPr>
        <xdr:cNvPr id="22" name="Group 21">
          <a:extLst>
            <a:ext uri="{FF2B5EF4-FFF2-40B4-BE49-F238E27FC236}">
              <a16:creationId xmlns:a16="http://schemas.microsoft.com/office/drawing/2014/main" id="{A5321D0B-8ABC-4095-BDB0-E922CB4C1365}"/>
            </a:ext>
          </a:extLst>
        </xdr:cNvPr>
        <xdr:cNvGrpSpPr/>
      </xdr:nvGrpSpPr>
      <xdr:grpSpPr>
        <a:xfrm>
          <a:off x="609577" y="2505075"/>
          <a:ext cx="2076473" cy="257175"/>
          <a:chOff x="7914451" y="3267075"/>
          <a:chExt cx="1276350" cy="257175"/>
        </a:xfrm>
      </xdr:grpSpPr>
      <xdr:sp macro="" textlink="">
        <xdr:nvSpPr>
          <xdr:cNvPr id="23" name="Rectangle: Rounded Corners 22">
            <a:extLst>
              <a:ext uri="{FF2B5EF4-FFF2-40B4-BE49-F238E27FC236}">
                <a16:creationId xmlns:a16="http://schemas.microsoft.com/office/drawing/2014/main" id="{6F99E5EF-AEF5-437B-8C7D-1BCFF91999FE}"/>
              </a:ext>
            </a:extLst>
          </xdr:cNvPr>
          <xdr:cNvSpPr/>
        </xdr:nvSpPr>
        <xdr:spPr>
          <a:xfrm>
            <a:off x="7914451" y="3314700"/>
            <a:ext cx="1276350" cy="209550"/>
          </a:xfrm>
          <a:prstGeom prst="roundRect">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4" name="TextBox 23">
            <a:extLst>
              <a:ext uri="{FF2B5EF4-FFF2-40B4-BE49-F238E27FC236}">
                <a16:creationId xmlns:a16="http://schemas.microsoft.com/office/drawing/2014/main" id="{B7C86179-EB15-4778-8983-6D35969B0F29}"/>
              </a:ext>
            </a:extLst>
          </xdr:cNvPr>
          <xdr:cNvSpPr txBox="1"/>
        </xdr:nvSpPr>
        <xdr:spPr>
          <a:xfrm>
            <a:off x="7934779" y="3267075"/>
            <a:ext cx="1133475" cy="24765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mn-lt"/>
                <a:ea typeface="+mn-ea"/>
                <a:cs typeface="+mn-cs"/>
              </a:rPr>
              <a:t>Carretera Performance</a:t>
            </a:r>
          </a:p>
        </xdr:txBody>
      </xdr:sp>
    </xdr:grpSp>
    <xdr:clientData/>
  </xdr:twoCellAnchor>
  <xdr:twoCellAnchor>
    <xdr:from>
      <xdr:col>8</xdr:col>
      <xdr:colOff>123826</xdr:colOff>
      <xdr:row>15</xdr:row>
      <xdr:rowOff>66675</xdr:rowOff>
    </xdr:from>
    <xdr:to>
      <xdr:col>11</xdr:col>
      <xdr:colOff>320864</xdr:colOff>
      <xdr:row>16</xdr:row>
      <xdr:rowOff>152400</xdr:rowOff>
    </xdr:to>
    <xdr:grpSp>
      <xdr:nvGrpSpPr>
        <xdr:cNvPr id="25" name="Group 24">
          <a:extLst>
            <a:ext uri="{FF2B5EF4-FFF2-40B4-BE49-F238E27FC236}">
              <a16:creationId xmlns:a16="http://schemas.microsoft.com/office/drawing/2014/main" id="{89AAAB46-7E09-4978-98E2-9473DDADDA85}"/>
            </a:ext>
          </a:extLst>
        </xdr:cNvPr>
        <xdr:cNvGrpSpPr/>
      </xdr:nvGrpSpPr>
      <xdr:grpSpPr>
        <a:xfrm>
          <a:off x="5000626" y="2495550"/>
          <a:ext cx="2025838" cy="247650"/>
          <a:chOff x="7981950" y="3267075"/>
          <a:chExt cx="1190624" cy="247650"/>
        </a:xfrm>
      </xdr:grpSpPr>
      <xdr:sp macro="" textlink="">
        <xdr:nvSpPr>
          <xdr:cNvPr id="26" name="Rectangle: Rounded Corners 25">
            <a:extLst>
              <a:ext uri="{FF2B5EF4-FFF2-40B4-BE49-F238E27FC236}">
                <a16:creationId xmlns:a16="http://schemas.microsoft.com/office/drawing/2014/main" id="{F7E13275-842F-499D-B7F1-3E0CCB026A7D}"/>
              </a:ext>
            </a:extLst>
          </xdr:cNvPr>
          <xdr:cNvSpPr/>
        </xdr:nvSpPr>
        <xdr:spPr>
          <a:xfrm>
            <a:off x="7981950" y="3314700"/>
            <a:ext cx="1186782" cy="200025"/>
          </a:xfrm>
          <a:prstGeom prst="roundRect">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7" name="TextBox 26">
            <a:extLst>
              <a:ext uri="{FF2B5EF4-FFF2-40B4-BE49-F238E27FC236}">
                <a16:creationId xmlns:a16="http://schemas.microsoft.com/office/drawing/2014/main" id="{786583F8-B94B-4085-A82D-399E344CB816}"/>
              </a:ext>
            </a:extLst>
          </xdr:cNvPr>
          <xdr:cNvSpPr txBox="1"/>
        </xdr:nvSpPr>
        <xdr:spPr>
          <a:xfrm>
            <a:off x="8039099" y="3267075"/>
            <a:ext cx="1133475" cy="24765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mn-lt"/>
                <a:ea typeface="+mn-ea"/>
                <a:cs typeface="+mn-cs"/>
              </a:rPr>
              <a:t>Paseo Performance</a:t>
            </a:r>
          </a:p>
        </xdr:txBody>
      </xdr:sp>
    </xdr:grpSp>
    <xdr:clientData/>
  </xdr:twoCellAnchor>
  <xdr:twoCellAnchor>
    <xdr:from>
      <xdr:col>1</xdr:col>
      <xdr:colOff>295275</xdr:colOff>
      <xdr:row>3</xdr:row>
      <xdr:rowOff>85725</xdr:rowOff>
    </xdr:from>
    <xdr:to>
      <xdr:col>3</xdr:col>
      <xdr:colOff>352425</xdr:colOff>
      <xdr:row>4</xdr:row>
      <xdr:rowOff>133350</xdr:rowOff>
    </xdr:to>
    <xdr:sp macro="" textlink="">
      <xdr:nvSpPr>
        <xdr:cNvPr id="28" name="Rectangle: Rounded Corners 27">
          <a:extLst>
            <a:ext uri="{FF2B5EF4-FFF2-40B4-BE49-F238E27FC236}">
              <a16:creationId xmlns:a16="http://schemas.microsoft.com/office/drawing/2014/main" id="{893C822D-4E1B-436F-9EB6-F608E9D9D810}"/>
            </a:ext>
          </a:extLst>
        </xdr:cNvPr>
        <xdr:cNvSpPr/>
      </xdr:nvSpPr>
      <xdr:spPr>
        <a:xfrm>
          <a:off x="904875" y="571500"/>
          <a:ext cx="1276350" cy="209550"/>
        </a:xfrm>
        <a:prstGeom prst="roundRect">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oneCellAnchor>
    <xdr:from>
      <xdr:col>1</xdr:col>
      <xdr:colOff>352425</xdr:colOff>
      <xdr:row>3</xdr:row>
      <xdr:rowOff>9526</xdr:rowOff>
    </xdr:from>
    <xdr:ext cx="1276350" cy="304800"/>
    <xdr:sp macro="" textlink="">
      <xdr:nvSpPr>
        <xdr:cNvPr id="29" name="TextBox 28">
          <a:extLst>
            <a:ext uri="{FF2B5EF4-FFF2-40B4-BE49-F238E27FC236}">
              <a16:creationId xmlns:a16="http://schemas.microsoft.com/office/drawing/2014/main" id="{1745BC17-2B67-405C-9E7C-F19889BFCB7C}"/>
            </a:ext>
          </a:extLst>
        </xdr:cNvPr>
        <xdr:cNvSpPr txBox="1"/>
      </xdr:nvSpPr>
      <xdr:spPr>
        <a:xfrm>
          <a:off x="962025" y="495301"/>
          <a:ext cx="127635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IN" sz="1400">
              <a:solidFill>
                <a:schemeClr val="bg1"/>
              </a:solidFill>
            </a:rPr>
            <a:t>Max Sales </a:t>
          </a:r>
        </a:p>
      </xdr:txBody>
    </xdr:sp>
    <xdr:clientData/>
  </xdr:oneCellAnchor>
  <xdr:twoCellAnchor>
    <xdr:from>
      <xdr:col>1</xdr:col>
      <xdr:colOff>9525</xdr:colOff>
      <xdr:row>4</xdr:row>
      <xdr:rowOff>0</xdr:rowOff>
    </xdr:from>
    <xdr:to>
      <xdr:col>4</xdr:col>
      <xdr:colOff>88725</xdr:colOff>
      <xdr:row>8</xdr:row>
      <xdr:rowOff>98334</xdr:rowOff>
    </xdr:to>
    <xdr:graphicFrame macro="">
      <xdr:nvGraphicFramePr>
        <xdr:cNvPr id="30" name="Chart 29">
          <a:extLst>
            <a:ext uri="{FF2B5EF4-FFF2-40B4-BE49-F238E27FC236}">
              <a16:creationId xmlns:a16="http://schemas.microsoft.com/office/drawing/2014/main" id="{A6A91198-5665-4C20-9EA6-8DDCCB23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523631</xdr:colOff>
      <xdr:row>7</xdr:row>
      <xdr:rowOff>147176</xdr:rowOff>
    </xdr:from>
    <xdr:to>
      <xdr:col>4</xdr:col>
      <xdr:colOff>66675</xdr:colOff>
      <xdr:row>9</xdr:row>
      <xdr:rowOff>90023</xdr:rowOff>
    </xdr:to>
    <xdr:sp macro="" textlink="'Pivot-Analysis'!C930">
      <xdr:nvSpPr>
        <xdr:cNvPr id="31" name="TextBox 30">
          <a:extLst>
            <a:ext uri="{FF2B5EF4-FFF2-40B4-BE49-F238E27FC236}">
              <a16:creationId xmlns:a16="http://schemas.microsoft.com/office/drawing/2014/main" id="{8F44F953-6F01-4AD3-9F35-8E392B0130B7}"/>
            </a:ext>
          </a:extLst>
        </xdr:cNvPr>
        <xdr:cNvSpPr txBox="1"/>
      </xdr:nvSpPr>
      <xdr:spPr>
        <a:xfrm>
          <a:off x="1133231" y="1280651"/>
          <a:ext cx="1371844" cy="266697"/>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fld id="{469531CB-46C7-417D-B62E-E2501295BE85}" type="TxLink">
            <a:rPr kumimoji="0" lang="en-US" sz="1000" b="0" i="0" u="none" strike="noStrike" kern="0" cap="none" spc="0" normalizeH="0" baseline="0" noProof="0">
              <a:ln>
                <a:noFill/>
              </a:ln>
              <a:solidFill>
                <a:schemeClr val="bg1"/>
              </a:solidFill>
              <a:effectLst/>
              <a:uLnTx/>
              <a:uFillTx/>
              <a:latin typeface="Arial"/>
              <a:ea typeface="+mn-ea"/>
              <a:cs typeface="Arial"/>
            </a:rPr>
            <a:pPr marL="0" marR="0" lvl="0" indent="0" algn="l" defTabSz="914400" eaLnBrk="1" fontAlgn="auto" latinLnBrk="0" hangingPunct="1">
              <a:lnSpc>
                <a:spcPct val="100000"/>
              </a:lnSpc>
              <a:spcBef>
                <a:spcPts val="0"/>
              </a:spcBef>
              <a:spcAft>
                <a:spcPts val="0"/>
              </a:spcAft>
              <a:buClrTx/>
              <a:buSzTx/>
              <a:buFontTx/>
              <a:buNone/>
              <a:tabLst/>
              <a:defRPr/>
            </a:pPr>
            <a:t>Small Business</a:t>
          </a:fld>
          <a:endParaRPr kumimoji="0" lang="en-IN" sz="1400" b="0" i="0" u="none" strike="noStrike" kern="0" cap="none" spc="0" normalizeH="0" baseline="0" noProof="0">
            <a:ln>
              <a:noFill/>
            </a:ln>
            <a:solidFill>
              <a:schemeClr val="bg1"/>
            </a:solidFill>
            <a:effectLst/>
            <a:uLnTx/>
            <a:uFillTx/>
            <a:latin typeface="Calibri" panose="020F0502020204030204"/>
            <a:ea typeface="+mn-ea"/>
            <a:cs typeface="+mn-cs"/>
          </a:endParaRPr>
        </a:p>
      </xdr:txBody>
    </xdr:sp>
    <xdr:clientData/>
  </xdr:twoCellAnchor>
  <xdr:twoCellAnchor>
    <xdr:from>
      <xdr:col>1</xdr:col>
      <xdr:colOff>523631</xdr:colOff>
      <xdr:row>9</xdr:row>
      <xdr:rowOff>16132</xdr:rowOff>
    </xdr:from>
    <xdr:to>
      <xdr:col>4</xdr:col>
      <xdr:colOff>66675</xdr:colOff>
      <xdr:row>10</xdr:row>
      <xdr:rowOff>120904</xdr:rowOff>
    </xdr:to>
    <xdr:sp macro="" textlink="'Pivot-Analysis'!D930">
      <xdr:nvSpPr>
        <xdr:cNvPr id="32" name="TextBox 31">
          <a:extLst>
            <a:ext uri="{FF2B5EF4-FFF2-40B4-BE49-F238E27FC236}">
              <a16:creationId xmlns:a16="http://schemas.microsoft.com/office/drawing/2014/main" id="{3710BC46-B24E-4694-ABB1-A0DDDB4C0403}"/>
            </a:ext>
          </a:extLst>
        </xdr:cNvPr>
        <xdr:cNvSpPr txBox="1"/>
      </xdr:nvSpPr>
      <xdr:spPr>
        <a:xfrm>
          <a:off x="1133231" y="1473457"/>
          <a:ext cx="1371844" cy="266697"/>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fld id="{A5D4BD2A-A4EA-4C44-9170-619E05534F69}" type="TxLink">
            <a:rPr kumimoji="0" lang="en-US" sz="1000" b="0" i="0" u="none" strike="noStrike" kern="0" cap="none" spc="0" normalizeH="0" baseline="0" noProof="0">
              <a:ln>
                <a:noFill/>
              </a:ln>
              <a:solidFill>
                <a:schemeClr val="bg1"/>
              </a:solidFill>
              <a:effectLst/>
              <a:uLnTx/>
              <a:uFillTx/>
              <a:latin typeface="Arial"/>
              <a:ea typeface="+mn-ea"/>
              <a:cs typeface="Arial"/>
            </a:rPr>
            <a:pPr marL="0" marR="0" lvl="0" indent="0" algn="l" defTabSz="914400" eaLnBrk="1" fontAlgn="auto" latinLnBrk="0" hangingPunct="1">
              <a:lnSpc>
                <a:spcPct val="100000"/>
              </a:lnSpc>
              <a:spcBef>
                <a:spcPts val="0"/>
              </a:spcBef>
              <a:spcAft>
                <a:spcPts val="0"/>
              </a:spcAft>
              <a:buClrTx/>
              <a:buSzTx/>
              <a:buFontTx/>
              <a:buNone/>
              <a:tabLst/>
              <a:defRPr/>
            </a:pPr>
            <a:t>Government</a:t>
          </a:fld>
          <a:endParaRPr kumimoji="0" lang="en-IN" sz="1400" b="0" i="0" u="none" strike="noStrike" kern="0" cap="none" spc="0" normalizeH="0" baseline="0" noProof="0">
            <a:ln>
              <a:noFill/>
            </a:ln>
            <a:solidFill>
              <a:schemeClr val="bg1"/>
            </a:solidFill>
            <a:effectLst/>
            <a:uLnTx/>
            <a:uFillTx/>
            <a:latin typeface="Calibri" panose="020F0502020204030204"/>
            <a:ea typeface="+mn-ea"/>
            <a:cs typeface="+mn-cs"/>
          </a:endParaRPr>
        </a:p>
      </xdr:txBody>
    </xdr:sp>
    <xdr:clientData/>
  </xdr:twoCellAnchor>
  <xdr:twoCellAnchor>
    <xdr:from>
      <xdr:col>1</xdr:col>
      <xdr:colOff>247650</xdr:colOff>
      <xdr:row>10</xdr:row>
      <xdr:rowOff>75736</xdr:rowOff>
    </xdr:from>
    <xdr:to>
      <xdr:col>1</xdr:col>
      <xdr:colOff>427650</xdr:colOff>
      <xdr:row>11</xdr:row>
      <xdr:rowOff>93811</xdr:rowOff>
    </xdr:to>
    <xdr:pic>
      <xdr:nvPicPr>
        <xdr:cNvPr id="33" name="Graphic 32" descr="Crying face with solid fill">
          <a:extLst>
            <a:ext uri="{FF2B5EF4-FFF2-40B4-BE49-F238E27FC236}">
              <a16:creationId xmlns:a16="http://schemas.microsoft.com/office/drawing/2014/main" id="{D764675E-C14B-4B66-8680-E0A0A6318E9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57250" y="1694986"/>
          <a:ext cx="180000" cy="180000"/>
        </a:xfrm>
        <a:prstGeom prst="rect">
          <a:avLst/>
        </a:prstGeom>
      </xdr:spPr>
    </xdr:pic>
    <xdr:clientData/>
  </xdr:twoCellAnchor>
  <xdr:twoCellAnchor>
    <xdr:from>
      <xdr:col>1</xdr:col>
      <xdr:colOff>523631</xdr:colOff>
      <xdr:row>10</xdr:row>
      <xdr:rowOff>47013</xdr:rowOff>
    </xdr:from>
    <xdr:to>
      <xdr:col>4</xdr:col>
      <xdr:colOff>66675</xdr:colOff>
      <xdr:row>11</xdr:row>
      <xdr:rowOff>151785</xdr:rowOff>
    </xdr:to>
    <xdr:sp macro="" textlink="'Pivot-Analysis'!E930">
      <xdr:nvSpPr>
        <xdr:cNvPr id="34" name="TextBox 33">
          <a:extLst>
            <a:ext uri="{FF2B5EF4-FFF2-40B4-BE49-F238E27FC236}">
              <a16:creationId xmlns:a16="http://schemas.microsoft.com/office/drawing/2014/main" id="{DC2BDDF5-391E-4D36-BC21-7ECD73030D7C}"/>
            </a:ext>
          </a:extLst>
        </xdr:cNvPr>
        <xdr:cNvSpPr txBox="1"/>
      </xdr:nvSpPr>
      <xdr:spPr>
        <a:xfrm>
          <a:off x="1133231" y="1666263"/>
          <a:ext cx="1371844" cy="266697"/>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fld id="{A364C5EF-3777-46DE-9582-3FE47974C857}" type="TxLink">
            <a:rPr kumimoji="0" lang="en-US" sz="1000" b="0" i="0" u="none" strike="noStrike" kern="0" cap="none" spc="0" normalizeH="0" baseline="0" noProof="0">
              <a:ln>
                <a:noFill/>
              </a:ln>
              <a:solidFill>
                <a:schemeClr val="bg1"/>
              </a:solidFill>
              <a:effectLst/>
              <a:uLnTx/>
              <a:uFillTx/>
              <a:latin typeface="Arial"/>
              <a:ea typeface="+mn-ea"/>
              <a:cs typeface="Arial"/>
            </a:rPr>
            <a:pPr marL="0" marR="0" lvl="0" indent="0" algn="l" defTabSz="914400" eaLnBrk="1" fontAlgn="auto" latinLnBrk="0" hangingPunct="1">
              <a:lnSpc>
                <a:spcPct val="100000"/>
              </a:lnSpc>
              <a:spcBef>
                <a:spcPts val="0"/>
              </a:spcBef>
              <a:spcAft>
                <a:spcPts val="0"/>
              </a:spcAft>
              <a:buClrTx/>
              <a:buSzTx/>
              <a:buFontTx/>
              <a:buNone/>
              <a:tabLst/>
              <a:defRPr/>
            </a:pPr>
            <a:t>Channel Partners</a:t>
          </a:fld>
          <a:endParaRPr kumimoji="0" lang="en-IN" sz="1400" b="0" i="0" u="none" strike="noStrike" kern="0" cap="none" spc="0" normalizeH="0" baseline="0" noProof="0">
            <a:ln>
              <a:noFill/>
            </a:ln>
            <a:solidFill>
              <a:schemeClr val="bg1"/>
            </a:solidFill>
            <a:effectLst/>
            <a:uLnTx/>
            <a:uFillTx/>
            <a:latin typeface="Calibri" panose="020F0502020204030204"/>
            <a:ea typeface="+mn-ea"/>
            <a:cs typeface="+mn-cs"/>
          </a:endParaRPr>
        </a:p>
      </xdr:txBody>
    </xdr:sp>
    <xdr:clientData/>
  </xdr:twoCellAnchor>
  <xdr:twoCellAnchor>
    <xdr:from>
      <xdr:col>1</xdr:col>
      <xdr:colOff>247650</xdr:colOff>
      <xdr:row>8</xdr:row>
      <xdr:rowOff>18735</xdr:rowOff>
    </xdr:from>
    <xdr:to>
      <xdr:col>1</xdr:col>
      <xdr:colOff>427650</xdr:colOff>
      <xdr:row>9</xdr:row>
      <xdr:rowOff>36810</xdr:rowOff>
    </xdr:to>
    <xdr:pic>
      <xdr:nvPicPr>
        <xdr:cNvPr id="35" name="Graphic 34" descr="Trophy">
          <a:extLst>
            <a:ext uri="{FF2B5EF4-FFF2-40B4-BE49-F238E27FC236}">
              <a16:creationId xmlns:a16="http://schemas.microsoft.com/office/drawing/2014/main" id="{162ACE87-CCCA-4F4A-812C-82523FB0720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57250" y="1314135"/>
          <a:ext cx="180000" cy="180000"/>
        </a:xfrm>
        <a:prstGeom prst="rect">
          <a:avLst/>
        </a:prstGeom>
      </xdr:spPr>
    </xdr:pic>
    <xdr:clientData/>
  </xdr:twoCellAnchor>
  <xdr:twoCellAnchor>
    <xdr:from>
      <xdr:col>1</xdr:col>
      <xdr:colOff>247650</xdr:colOff>
      <xdr:row>9</xdr:row>
      <xdr:rowOff>37637</xdr:rowOff>
    </xdr:from>
    <xdr:to>
      <xdr:col>1</xdr:col>
      <xdr:colOff>427650</xdr:colOff>
      <xdr:row>10</xdr:row>
      <xdr:rowOff>55712</xdr:rowOff>
    </xdr:to>
    <xdr:pic>
      <xdr:nvPicPr>
        <xdr:cNvPr id="36" name="Graphic 35" descr="Medal">
          <a:extLst>
            <a:ext uri="{FF2B5EF4-FFF2-40B4-BE49-F238E27FC236}">
              <a16:creationId xmlns:a16="http://schemas.microsoft.com/office/drawing/2014/main" id="{C8D112F5-387E-4D55-A4D0-CD1BB4FA423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57250" y="1494962"/>
          <a:ext cx="180000" cy="180000"/>
        </a:xfrm>
        <a:prstGeom prst="rect">
          <a:avLst/>
        </a:prstGeom>
      </xdr:spPr>
    </xdr:pic>
    <xdr:clientData/>
  </xdr:twoCellAnchor>
  <xdr:twoCellAnchor>
    <xdr:from>
      <xdr:col>6</xdr:col>
      <xdr:colOff>285750</xdr:colOff>
      <xdr:row>4</xdr:row>
      <xdr:rowOff>9525</xdr:rowOff>
    </xdr:from>
    <xdr:to>
      <xdr:col>9</xdr:col>
      <xdr:colOff>364950</xdr:colOff>
      <xdr:row>8</xdr:row>
      <xdr:rowOff>107859</xdr:rowOff>
    </xdr:to>
    <xdr:graphicFrame macro="">
      <xdr:nvGraphicFramePr>
        <xdr:cNvPr id="37" name="Chart 36">
          <a:extLst>
            <a:ext uri="{FF2B5EF4-FFF2-40B4-BE49-F238E27FC236}">
              <a16:creationId xmlns:a16="http://schemas.microsoft.com/office/drawing/2014/main" id="{277AB69A-AAE8-435F-B235-8C27183F28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6535</xdr:colOff>
      <xdr:row>7</xdr:row>
      <xdr:rowOff>88294</xdr:rowOff>
    </xdr:from>
    <xdr:to>
      <xdr:col>9</xdr:col>
      <xdr:colOff>159179</xdr:colOff>
      <xdr:row>9</xdr:row>
      <xdr:rowOff>31141</xdr:rowOff>
    </xdr:to>
    <xdr:sp macro="" textlink="'Pivot-Analysis'!C943">
      <xdr:nvSpPr>
        <xdr:cNvPr id="38" name="TextBox 37">
          <a:extLst>
            <a:ext uri="{FF2B5EF4-FFF2-40B4-BE49-F238E27FC236}">
              <a16:creationId xmlns:a16="http://schemas.microsoft.com/office/drawing/2014/main" id="{C8E64EB7-63EF-4C8A-ADE9-5147B1968917}"/>
            </a:ext>
          </a:extLst>
        </xdr:cNvPr>
        <xdr:cNvSpPr txBox="1"/>
      </xdr:nvSpPr>
      <xdr:spPr>
        <a:xfrm>
          <a:off x="4273735" y="1221769"/>
          <a:ext cx="1371844" cy="266697"/>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fld id="{C048729C-CBC4-49F7-A585-A8BC5055A4F0}" type="TxLink">
            <a:rPr kumimoji="0" lang="en-US" sz="1000" b="0" i="0" u="none" strike="noStrike" kern="0" cap="none" spc="0" normalizeH="0" baseline="0" noProof="0">
              <a:ln>
                <a:noFill/>
              </a:ln>
              <a:solidFill>
                <a:schemeClr val="bg1"/>
              </a:solidFill>
              <a:effectLst/>
              <a:uLnTx/>
              <a:uFillTx/>
              <a:latin typeface="Arial"/>
              <a:ea typeface="+mn-ea"/>
              <a:cs typeface="Arial"/>
            </a:rPr>
            <a:pPr marL="0" marR="0" lvl="0" indent="0" algn="l" defTabSz="914400" eaLnBrk="1" fontAlgn="auto" latinLnBrk="0" hangingPunct="1">
              <a:lnSpc>
                <a:spcPct val="100000"/>
              </a:lnSpc>
              <a:spcBef>
                <a:spcPts val="0"/>
              </a:spcBef>
              <a:spcAft>
                <a:spcPts val="0"/>
              </a:spcAft>
              <a:buClrTx/>
              <a:buSzTx/>
              <a:buFontTx/>
              <a:buNone/>
              <a:tabLst/>
              <a:defRPr/>
            </a:pPr>
            <a:t>Government</a:t>
          </a:fld>
          <a:endParaRPr kumimoji="0" lang="en-IN" sz="1000" b="0" i="0" u="none" strike="noStrike" kern="0" cap="none" spc="0" normalizeH="0" baseline="0" noProof="0">
            <a:ln>
              <a:noFill/>
            </a:ln>
            <a:solidFill>
              <a:schemeClr val="bg1"/>
            </a:solidFill>
            <a:effectLst/>
            <a:uLnTx/>
            <a:uFillTx/>
            <a:latin typeface="Arial"/>
            <a:ea typeface="+mn-ea"/>
            <a:cs typeface="Arial"/>
          </a:endParaRPr>
        </a:p>
      </xdr:txBody>
    </xdr:sp>
    <xdr:clientData/>
  </xdr:twoCellAnchor>
  <xdr:twoCellAnchor>
    <xdr:from>
      <xdr:col>6</xdr:col>
      <xdr:colOff>597085</xdr:colOff>
      <xdr:row>8</xdr:row>
      <xdr:rowOff>147750</xdr:rowOff>
    </xdr:from>
    <xdr:to>
      <xdr:col>9</xdr:col>
      <xdr:colOff>140129</xdr:colOff>
      <xdr:row>10</xdr:row>
      <xdr:rowOff>90597</xdr:rowOff>
    </xdr:to>
    <xdr:sp macro="" textlink="'Pivot-Analysis'!D943">
      <xdr:nvSpPr>
        <xdr:cNvPr id="39" name="TextBox 38">
          <a:extLst>
            <a:ext uri="{FF2B5EF4-FFF2-40B4-BE49-F238E27FC236}">
              <a16:creationId xmlns:a16="http://schemas.microsoft.com/office/drawing/2014/main" id="{518D2D99-624D-4D21-AF7B-C38F59FE9D75}"/>
            </a:ext>
          </a:extLst>
        </xdr:cNvPr>
        <xdr:cNvSpPr txBox="1"/>
      </xdr:nvSpPr>
      <xdr:spPr>
        <a:xfrm>
          <a:off x="4254685" y="1443150"/>
          <a:ext cx="1371844" cy="266697"/>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fld id="{61263771-5C75-491D-BCFA-C854DF9F8642}" type="TxLink">
            <a:rPr kumimoji="0" lang="en-US" sz="1000" b="0" i="0" u="none" strike="noStrike" kern="0" cap="none" spc="0" normalizeH="0" baseline="0" noProof="0">
              <a:ln>
                <a:noFill/>
              </a:ln>
              <a:solidFill>
                <a:schemeClr val="bg1"/>
              </a:solidFill>
              <a:effectLst/>
              <a:uLnTx/>
              <a:uFillTx/>
              <a:latin typeface="Arial"/>
              <a:ea typeface="+mn-ea"/>
              <a:cs typeface="Arial"/>
            </a:rPr>
            <a:pPr marL="0" marR="0" lvl="0" indent="0" algn="l" defTabSz="914400" eaLnBrk="1" fontAlgn="auto" latinLnBrk="0" hangingPunct="1">
              <a:lnSpc>
                <a:spcPct val="100000"/>
              </a:lnSpc>
              <a:spcBef>
                <a:spcPts val="0"/>
              </a:spcBef>
              <a:spcAft>
                <a:spcPts val="0"/>
              </a:spcAft>
              <a:buClrTx/>
              <a:buSzTx/>
              <a:buFontTx/>
              <a:buNone/>
              <a:tabLst/>
              <a:defRPr/>
            </a:pPr>
            <a:t>Small Business</a:t>
          </a:fld>
          <a:endParaRPr kumimoji="0" lang="en-IN" sz="1000" b="0" i="0" u="none" strike="noStrike" kern="0" cap="none" spc="0" normalizeH="0" baseline="0" noProof="0">
            <a:ln>
              <a:noFill/>
            </a:ln>
            <a:solidFill>
              <a:schemeClr val="bg1"/>
            </a:solidFill>
            <a:effectLst/>
            <a:uLnTx/>
            <a:uFillTx/>
            <a:latin typeface="Arial"/>
            <a:ea typeface="+mn-ea"/>
            <a:cs typeface="Arial"/>
          </a:endParaRPr>
        </a:p>
      </xdr:txBody>
    </xdr:sp>
    <xdr:clientData/>
  </xdr:twoCellAnchor>
  <xdr:twoCellAnchor>
    <xdr:from>
      <xdr:col>6</xdr:col>
      <xdr:colOff>606610</xdr:colOff>
      <xdr:row>10</xdr:row>
      <xdr:rowOff>7181</xdr:rowOff>
    </xdr:from>
    <xdr:to>
      <xdr:col>9</xdr:col>
      <xdr:colOff>149654</xdr:colOff>
      <xdr:row>11</xdr:row>
      <xdr:rowOff>111953</xdr:rowOff>
    </xdr:to>
    <xdr:sp macro="" textlink="'Pivot-Analysis'!E943">
      <xdr:nvSpPr>
        <xdr:cNvPr id="40" name="TextBox 39">
          <a:extLst>
            <a:ext uri="{FF2B5EF4-FFF2-40B4-BE49-F238E27FC236}">
              <a16:creationId xmlns:a16="http://schemas.microsoft.com/office/drawing/2014/main" id="{A56763A4-FF9D-403A-A868-FAD395CA9688}"/>
            </a:ext>
          </a:extLst>
        </xdr:cNvPr>
        <xdr:cNvSpPr txBox="1"/>
      </xdr:nvSpPr>
      <xdr:spPr>
        <a:xfrm>
          <a:off x="4264210" y="1626431"/>
          <a:ext cx="1371844" cy="266697"/>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fld id="{A718224B-D02D-46E4-8FE3-AD110EAF0962}" type="TxLink">
            <a:rPr kumimoji="0" lang="en-US" sz="1000" b="0" i="0" u="none" strike="noStrike" kern="0" cap="none" spc="0" normalizeH="0" baseline="0" noProof="0">
              <a:ln>
                <a:noFill/>
              </a:ln>
              <a:solidFill>
                <a:schemeClr val="bg1"/>
              </a:solidFill>
              <a:effectLst/>
              <a:uLnTx/>
              <a:uFillTx/>
              <a:latin typeface="Arial"/>
              <a:ea typeface="+mn-ea"/>
              <a:cs typeface="Arial"/>
            </a:rPr>
            <a:pPr marL="0" marR="0" lvl="0" indent="0" algn="l" defTabSz="914400" eaLnBrk="1" fontAlgn="auto" latinLnBrk="0" hangingPunct="1">
              <a:lnSpc>
                <a:spcPct val="100000"/>
              </a:lnSpc>
              <a:spcBef>
                <a:spcPts val="0"/>
              </a:spcBef>
              <a:spcAft>
                <a:spcPts val="0"/>
              </a:spcAft>
              <a:buClrTx/>
              <a:buSzTx/>
              <a:buFontTx/>
              <a:buNone/>
              <a:tabLst/>
              <a:defRPr/>
            </a:pPr>
            <a:t>Enterprise</a:t>
          </a:fld>
          <a:endParaRPr kumimoji="0" lang="en-IN" sz="1000" b="0" i="0" u="none" strike="noStrike" kern="0" cap="none" spc="0" normalizeH="0" baseline="0" noProof="0">
            <a:ln>
              <a:noFill/>
            </a:ln>
            <a:solidFill>
              <a:schemeClr val="bg1"/>
            </a:solidFill>
            <a:effectLst/>
            <a:uLnTx/>
            <a:uFillTx/>
            <a:latin typeface="Arial"/>
            <a:ea typeface="+mn-ea"/>
            <a:cs typeface="Arial"/>
          </a:endParaRPr>
        </a:p>
      </xdr:txBody>
    </xdr:sp>
    <xdr:clientData/>
  </xdr:twoCellAnchor>
  <xdr:twoCellAnchor>
    <xdr:from>
      <xdr:col>6</xdr:col>
      <xdr:colOff>483029</xdr:colOff>
      <xdr:row>10</xdr:row>
      <xdr:rowOff>35904</xdr:rowOff>
    </xdr:from>
    <xdr:to>
      <xdr:col>7</xdr:col>
      <xdr:colOff>53429</xdr:colOff>
      <xdr:row>11</xdr:row>
      <xdr:rowOff>53979</xdr:rowOff>
    </xdr:to>
    <xdr:pic>
      <xdr:nvPicPr>
        <xdr:cNvPr id="41" name="Graphic 40" descr="Crying face with solid fill">
          <a:extLst>
            <a:ext uri="{FF2B5EF4-FFF2-40B4-BE49-F238E27FC236}">
              <a16:creationId xmlns:a16="http://schemas.microsoft.com/office/drawing/2014/main" id="{AEA30852-44DD-45FD-B331-BA2FDD1216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140629" y="1655154"/>
          <a:ext cx="180000" cy="180000"/>
        </a:xfrm>
        <a:prstGeom prst="rect">
          <a:avLst/>
        </a:prstGeom>
      </xdr:spPr>
    </xdr:pic>
    <xdr:clientData/>
  </xdr:twoCellAnchor>
  <xdr:twoCellAnchor>
    <xdr:from>
      <xdr:col>6</xdr:col>
      <xdr:colOff>492554</xdr:colOff>
      <xdr:row>7</xdr:row>
      <xdr:rowOff>131303</xdr:rowOff>
    </xdr:from>
    <xdr:to>
      <xdr:col>7</xdr:col>
      <xdr:colOff>62954</xdr:colOff>
      <xdr:row>8</xdr:row>
      <xdr:rowOff>149378</xdr:rowOff>
    </xdr:to>
    <xdr:pic>
      <xdr:nvPicPr>
        <xdr:cNvPr id="42" name="Graphic 41" descr="Trophy">
          <a:extLst>
            <a:ext uri="{FF2B5EF4-FFF2-40B4-BE49-F238E27FC236}">
              <a16:creationId xmlns:a16="http://schemas.microsoft.com/office/drawing/2014/main" id="{4210EC4B-2737-4C0B-947C-90A09BF5A4A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150154" y="1264778"/>
          <a:ext cx="180000" cy="180000"/>
        </a:xfrm>
        <a:prstGeom prst="rect">
          <a:avLst/>
        </a:prstGeom>
      </xdr:spPr>
    </xdr:pic>
    <xdr:clientData/>
  </xdr:twoCellAnchor>
  <xdr:twoCellAnchor>
    <xdr:from>
      <xdr:col>6</xdr:col>
      <xdr:colOff>492554</xdr:colOff>
      <xdr:row>9</xdr:row>
      <xdr:rowOff>7330</xdr:rowOff>
    </xdr:from>
    <xdr:to>
      <xdr:col>7</xdr:col>
      <xdr:colOff>62954</xdr:colOff>
      <xdr:row>10</xdr:row>
      <xdr:rowOff>25405</xdr:rowOff>
    </xdr:to>
    <xdr:pic>
      <xdr:nvPicPr>
        <xdr:cNvPr id="43" name="Graphic 42" descr="Medal">
          <a:extLst>
            <a:ext uri="{FF2B5EF4-FFF2-40B4-BE49-F238E27FC236}">
              <a16:creationId xmlns:a16="http://schemas.microsoft.com/office/drawing/2014/main" id="{B322DF95-3EED-4B09-A393-08352EEB0AF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150154" y="1464655"/>
          <a:ext cx="180000" cy="180000"/>
        </a:xfrm>
        <a:prstGeom prst="rect">
          <a:avLst/>
        </a:prstGeom>
      </xdr:spPr>
    </xdr:pic>
    <xdr:clientData/>
  </xdr:twoCellAnchor>
  <xdr:twoCellAnchor>
    <xdr:from>
      <xdr:col>2</xdr:col>
      <xdr:colOff>142875</xdr:colOff>
      <xdr:row>5</xdr:row>
      <xdr:rowOff>104775</xdr:rowOff>
    </xdr:from>
    <xdr:to>
      <xdr:col>3</xdr:col>
      <xdr:colOff>133350</xdr:colOff>
      <xdr:row>7</xdr:row>
      <xdr:rowOff>38774</xdr:rowOff>
    </xdr:to>
    <xdr:sp macro="" textlink="'Pivot-Analysis'!B930">
      <xdr:nvSpPr>
        <xdr:cNvPr id="44" name="TextBox 43">
          <a:extLst>
            <a:ext uri="{FF2B5EF4-FFF2-40B4-BE49-F238E27FC236}">
              <a16:creationId xmlns:a16="http://schemas.microsoft.com/office/drawing/2014/main" id="{CE58F860-4AC3-4782-868E-28F90DF90F49}"/>
            </a:ext>
          </a:extLst>
        </xdr:cNvPr>
        <xdr:cNvSpPr txBox="1"/>
      </xdr:nvSpPr>
      <xdr:spPr>
        <a:xfrm>
          <a:off x="1362075" y="914400"/>
          <a:ext cx="600075" cy="2578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A9FDF75A-AE5F-4051-9C73-0D84A8725705}" type="TxLink">
            <a:rPr lang="en-US" sz="1000" b="0" i="0" u="none" strike="noStrike">
              <a:solidFill>
                <a:schemeClr val="bg1"/>
              </a:solidFill>
              <a:latin typeface="Arial"/>
              <a:cs typeface="Arial"/>
            </a:rPr>
            <a:pPr/>
            <a:t>25.0M</a:t>
          </a:fld>
          <a:endParaRPr lang="en-IN" sz="1100">
            <a:solidFill>
              <a:schemeClr val="bg1"/>
            </a:solidFill>
          </a:endParaRPr>
        </a:p>
      </xdr:txBody>
    </xdr:sp>
    <xdr:clientData/>
  </xdr:twoCellAnchor>
  <xdr:twoCellAnchor>
    <xdr:from>
      <xdr:col>7</xdr:col>
      <xdr:colOff>381000</xdr:colOff>
      <xdr:row>5</xdr:row>
      <xdr:rowOff>47625</xdr:rowOff>
    </xdr:from>
    <xdr:to>
      <xdr:col>8</xdr:col>
      <xdr:colOff>296038</xdr:colOff>
      <xdr:row>6</xdr:row>
      <xdr:rowOff>143549</xdr:rowOff>
    </xdr:to>
    <xdr:sp macro="" textlink="'Pivot-Analysis'!B943">
      <xdr:nvSpPr>
        <xdr:cNvPr id="45" name="TextBox 44">
          <a:extLst>
            <a:ext uri="{FF2B5EF4-FFF2-40B4-BE49-F238E27FC236}">
              <a16:creationId xmlns:a16="http://schemas.microsoft.com/office/drawing/2014/main" id="{BF91A89A-F968-41BA-8036-03F0FB24B8A8}"/>
            </a:ext>
          </a:extLst>
        </xdr:cNvPr>
        <xdr:cNvSpPr txBox="1"/>
      </xdr:nvSpPr>
      <xdr:spPr>
        <a:xfrm>
          <a:off x="4648200" y="857250"/>
          <a:ext cx="524638" cy="2578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A62BE36A-1158-4519-94D4-0D983CD43D49}" type="TxLink">
            <a:rPr lang="en-US" sz="1000" b="0" i="0" u="none" strike="noStrike">
              <a:solidFill>
                <a:schemeClr val="bg1"/>
              </a:solidFill>
              <a:latin typeface="Arial"/>
              <a:cs typeface="Arial"/>
            </a:rPr>
            <a:pPr/>
            <a:t>3.8M</a:t>
          </a:fld>
          <a:endParaRPr lang="en-IN" sz="1100">
            <a:solidFill>
              <a:schemeClr val="bg1"/>
            </a:solidFill>
          </a:endParaRPr>
        </a:p>
      </xdr:txBody>
    </xdr:sp>
    <xdr:clientData/>
  </xdr:twoCellAnchor>
  <xdr:twoCellAnchor>
    <xdr:from>
      <xdr:col>6</xdr:col>
      <xdr:colOff>495300</xdr:colOff>
      <xdr:row>3</xdr:row>
      <xdr:rowOff>9525</xdr:rowOff>
    </xdr:from>
    <xdr:to>
      <xdr:col>8</xdr:col>
      <xdr:colOff>552450</xdr:colOff>
      <xdr:row>4</xdr:row>
      <xdr:rowOff>57150</xdr:rowOff>
    </xdr:to>
    <xdr:sp macro="" textlink="">
      <xdr:nvSpPr>
        <xdr:cNvPr id="46" name="Rectangle: Rounded Corners 45">
          <a:extLst>
            <a:ext uri="{FF2B5EF4-FFF2-40B4-BE49-F238E27FC236}">
              <a16:creationId xmlns:a16="http://schemas.microsoft.com/office/drawing/2014/main" id="{CEA856DD-24B0-4841-ABD6-E57C9AD3BCA4}"/>
            </a:ext>
          </a:extLst>
        </xdr:cNvPr>
        <xdr:cNvSpPr/>
      </xdr:nvSpPr>
      <xdr:spPr>
        <a:xfrm>
          <a:off x="4152900" y="495300"/>
          <a:ext cx="1276350" cy="209550"/>
        </a:xfrm>
        <a:prstGeom prst="roundRect">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oneCellAnchor>
    <xdr:from>
      <xdr:col>7</xdr:col>
      <xdr:colOff>28575</xdr:colOff>
      <xdr:row>2</xdr:row>
      <xdr:rowOff>104775</xdr:rowOff>
    </xdr:from>
    <xdr:ext cx="1304925" cy="304800"/>
    <xdr:sp macro="" textlink="">
      <xdr:nvSpPr>
        <xdr:cNvPr id="47" name="TextBox 46">
          <a:extLst>
            <a:ext uri="{FF2B5EF4-FFF2-40B4-BE49-F238E27FC236}">
              <a16:creationId xmlns:a16="http://schemas.microsoft.com/office/drawing/2014/main" id="{76950FC5-0067-4106-B092-FCCEAC7BF33E}"/>
            </a:ext>
          </a:extLst>
        </xdr:cNvPr>
        <xdr:cNvSpPr txBox="1"/>
      </xdr:nvSpPr>
      <xdr:spPr>
        <a:xfrm>
          <a:off x="4295775" y="428625"/>
          <a:ext cx="1304925"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IN" sz="1400">
              <a:solidFill>
                <a:schemeClr val="bg1"/>
              </a:solidFill>
            </a:rPr>
            <a:t>Max Profit</a:t>
          </a:r>
        </a:p>
      </xdr:txBody>
    </xdr:sp>
    <xdr:clientData/>
  </xdr:oneCellAnchor>
  <xdr:twoCellAnchor>
    <xdr:from>
      <xdr:col>1</xdr:col>
      <xdr:colOff>171450</xdr:colOff>
      <xdr:row>13</xdr:row>
      <xdr:rowOff>57150</xdr:rowOff>
    </xdr:from>
    <xdr:to>
      <xdr:col>3</xdr:col>
      <xdr:colOff>352837</xdr:colOff>
      <xdr:row>14</xdr:row>
      <xdr:rowOff>140335</xdr:rowOff>
    </xdr:to>
    <xdr:graphicFrame macro="">
      <xdr:nvGraphicFramePr>
        <xdr:cNvPr id="48" name="Chart 47">
          <a:extLst>
            <a:ext uri="{FF2B5EF4-FFF2-40B4-BE49-F238E27FC236}">
              <a16:creationId xmlns:a16="http://schemas.microsoft.com/office/drawing/2014/main" id="{BDD49CD3-FE8B-457D-BEEB-2D254424A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409575</xdr:colOff>
      <xdr:row>11</xdr:row>
      <xdr:rowOff>114300</xdr:rowOff>
    </xdr:from>
    <xdr:to>
      <xdr:col>3</xdr:col>
      <xdr:colOff>238537</xdr:colOff>
      <xdr:row>13</xdr:row>
      <xdr:rowOff>56925</xdr:rowOff>
    </xdr:to>
    <xdr:grpSp>
      <xdr:nvGrpSpPr>
        <xdr:cNvPr id="49" name="Group 48">
          <a:extLst>
            <a:ext uri="{FF2B5EF4-FFF2-40B4-BE49-F238E27FC236}">
              <a16:creationId xmlns:a16="http://schemas.microsoft.com/office/drawing/2014/main" id="{48E6270B-EA4F-4AC1-A961-6BE750536419}"/>
            </a:ext>
          </a:extLst>
        </xdr:cNvPr>
        <xdr:cNvGrpSpPr/>
      </xdr:nvGrpSpPr>
      <xdr:grpSpPr>
        <a:xfrm>
          <a:off x="1019175" y="1895475"/>
          <a:ext cx="1048162" cy="266475"/>
          <a:chOff x="7981950" y="3267075"/>
          <a:chExt cx="1276350" cy="257175"/>
        </a:xfrm>
      </xdr:grpSpPr>
      <xdr:sp macro="" textlink="">
        <xdr:nvSpPr>
          <xdr:cNvPr id="50" name="Rectangle: Rounded Corners 49">
            <a:extLst>
              <a:ext uri="{FF2B5EF4-FFF2-40B4-BE49-F238E27FC236}">
                <a16:creationId xmlns:a16="http://schemas.microsoft.com/office/drawing/2014/main" id="{5F6DF05F-F3C4-4E07-87F9-19ED5FD9761C}"/>
              </a:ext>
            </a:extLst>
          </xdr:cNvPr>
          <xdr:cNvSpPr/>
        </xdr:nvSpPr>
        <xdr:spPr>
          <a:xfrm>
            <a:off x="7981950" y="3314700"/>
            <a:ext cx="1276350" cy="209550"/>
          </a:xfrm>
          <a:prstGeom prst="roundRect">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51" name="TextBox 50">
            <a:extLst>
              <a:ext uri="{FF2B5EF4-FFF2-40B4-BE49-F238E27FC236}">
                <a16:creationId xmlns:a16="http://schemas.microsoft.com/office/drawing/2014/main" id="{7A4FF295-7E65-42C3-BEDE-E1B589FD0131}"/>
              </a:ext>
            </a:extLst>
          </xdr:cNvPr>
          <xdr:cNvSpPr txBox="1"/>
        </xdr:nvSpPr>
        <xdr:spPr>
          <a:xfrm>
            <a:off x="8039099" y="3267075"/>
            <a:ext cx="1133475" cy="24765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rPr>
              <a:t>Min Sales </a:t>
            </a:r>
          </a:p>
        </xdr:txBody>
      </xdr:sp>
    </xdr:grpSp>
    <xdr:clientData/>
  </xdr:twoCellAnchor>
  <xdr:twoCellAnchor>
    <xdr:from>
      <xdr:col>6</xdr:col>
      <xdr:colOff>514350</xdr:colOff>
      <xdr:row>12</xdr:row>
      <xdr:rowOff>9525</xdr:rowOff>
    </xdr:from>
    <xdr:to>
      <xdr:col>8</xdr:col>
      <xdr:colOff>343312</xdr:colOff>
      <xdr:row>13</xdr:row>
      <xdr:rowOff>114075</xdr:rowOff>
    </xdr:to>
    <xdr:grpSp>
      <xdr:nvGrpSpPr>
        <xdr:cNvPr id="52" name="Group 51">
          <a:extLst>
            <a:ext uri="{FF2B5EF4-FFF2-40B4-BE49-F238E27FC236}">
              <a16:creationId xmlns:a16="http://schemas.microsoft.com/office/drawing/2014/main" id="{99BEC932-F0D3-44BF-903A-D6F161E90540}"/>
            </a:ext>
          </a:extLst>
        </xdr:cNvPr>
        <xdr:cNvGrpSpPr/>
      </xdr:nvGrpSpPr>
      <xdr:grpSpPr>
        <a:xfrm>
          <a:off x="4171950" y="1952625"/>
          <a:ext cx="1048162" cy="266475"/>
          <a:chOff x="7981950" y="3267075"/>
          <a:chExt cx="1276350" cy="257175"/>
        </a:xfrm>
      </xdr:grpSpPr>
      <xdr:sp macro="" textlink="">
        <xdr:nvSpPr>
          <xdr:cNvPr id="53" name="Rectangle: Rounded Corners 52">
            <a:extLst>
              <a:ext uri="{FF2B5EF4-FFF2-40B4-BE49-F238E27FC236}">
                <a16:creationId xmlns:a16="http://schemas.microsoft.com/office/drawing/2014/main" id="{94B24766-28AC-4CF5-B425-90BD2AFB8549}"/>
              </a:ext>
            </a:extLst>
          </xdr:cNvPr>
          <xdr:cNvSpPr/>
        </xdr:nvSpPr>
        <xdr:spPr>
          <a:xfrm>
            <a:off x="7981950" y="3314700"/>
            <a:ext cx="1276350" cy="209550"/>
          </a:xfrm>
          <a:prstGeom prst="roundRect">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54" name="TextBox 53">
            <a:extLst>
              <a:ext uri="{FF2B5EF4-FFF2-40B4-BE49-F238E27FC236}">
                <a16:creationId xmlns:a16="http://schemas.microsoft.com/office/drawing/2014/main" id="{2F0C84B5-84E6-4375-A61B-9EF106F34A97}"/>
              </a:ext>
            </a:extLst>
          </xdr:cNvPr>
          <xdr:cNvSpPr txBox="1"/>
        </xdr:nvSpPr>
        <xdr:spPr>
          <a:xfrm>
            <a:off x="8039099" y="3267075"/>
            <a:ext cx="1133475" cy="24765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rPr>
              <a:t>Least Profit </a:t>
            </a:r>
          </a:p>
        </xdr:txBody>
      </xdr:sp>
    </xdr:grpSp>
    <xdr:clientData/>
  </xdr:twoCellAnchor>
  <xdr:twoCellAnchor>
    <xdr:from>
      <xdr:col>9</xdr:col>
      <xdr:colOff>504825</xdr:colOff>
      <xdr:row>2</xdr:row>
      <xdr:rowOff>104775</xdr:rowOff>
    </xdr:from>
    <xdr:to>
      <xdr:col>13</xdr:col>
      <xdr:colOff>47624</xdr:colOff>
      <xdr:row>4</xdr:row>
      <xdr:rowOff>38100</xdr:rowOff>
    </xdr:to>
    <xdr:grpSp>
      <xdr:nvGrpSpPr>
        <xdr:cNvPr id="55" name="Group 54">
          <a:extLst>
            <a:ext uri="{FF2B5EF4-FFF2-40B4-BE49-F238E27FC236}">
              <a16:creationId xmlns:a16="http://schemas.microsoft.com/office/drawing/2014/main" id="{F9533D61-1A41-4019-A503-C6137C4391DE}"/>
            </a:ext>
          </a:extLst>
        </xdr:cNvPr>
        <xdr:cNvGrpSpPr/>
      </xdr:nvGrpSpPr>
      <xdr:grpSpPr>
        <a:xfrm>
          <a:off x="5991225" y="428625"/>
          <a:ext cx="1981199" cy="257175"/>
          <a:chOff x="7981950" y="3267075"/>
          <a:chExt cx="1276350" cy="257175"/>
        </a:xfrm>
      </xdr:grpSpPr>
      <xdr:sp macro="" textlink="">
        <xdr:nvSpPr>
          <xdr:cNvPr id="56" name="Rectangle: Rounded Corners 55">
            <a:extLst>
              <a:ext uri="{FF2B5EF4-FFF2-40B4-BE49-F238E27FC236}">
                <a16:creationId xmlns:a16="http://schemas.microsoft.com/office/drawing/2014/main" id="{331CD635-6C37-4AC6-B623-7E7EDC6C24D7}"/>
              </a:ext>
            </a:extLst>
          </xdr:cNvPr>
          <xdr:cNvSpPr/>
        </xdr:nvSpPr>
        <xdr:spPr>
          <a:xfrm>
            <a:off x="7981950" y="3314700"/>
            <a:ext cx="1276350" cy="209550"/>
          </a:xfrm>
          <a:prstGeom prst="roundRect">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57" name="TextBox 56">
            <a:extLst>
              <a:ext uri="{FF2B5EF4-FFF2-40B4-BE49-F238E27FC236}">
                <a16:creationId xmlns:a16="http://schemas.microsoft.com/office/drawing/2014/main" id="{E8D9A40B-D931-435C-B899-80A781DBA0CB}"/>
              </a:ext>
            </a:extLst>
          </xdr:cNvPr>
          <xdr:cNvSpPr txBox="1"/>
        </xdr:nvSpPr>
        <xdr:spPr>
          <a:xfrm>
            <a:off x="8039099" y="3267075"/>
            <a:ext cx="1133475" cy="24765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rPr>
              <a:t>General Observations</a:t>
            </a:r>
          </a:p>
        </xdr:txBody>
      </xdr:sp>
    </xdr:grpSp>
    <xdr:clientData/>
  </xdr:twoCellAnchor>
  <xdr:twoCellAnchor>
    <xdr:from>
      <xdr:col>14</xdr:col>
      <xdr:colOff>323850</xdr:colOff>
      <xdr:row>2</xdr:row>
      <xdr:rowOff>114300</xdr:rowOff>
    </xdr:from>
    <xdr:to>
      <xdr:col>17</xdr:col>
      <xdr:colOff>476249</xdr:colOff>
      <xdr:row>4</xdr:row>
      <xdr:rowOff>47625</xdr:rowOff>
    </xdr:to>
    <xdr:grpSp>
      <xdr:nvGrpSpPr>
        <xdr:cNvPr id="58" name="Group 57">
          <a:extLst>
            <a:ext uri="{FF2B5EF4-FFF2-40B4-BE49-F238E27FC236}">
              <a16:creationId xmlns:a16="http://schemas.microsoft.com/office/drawing/2014/main" id="{3302C0F2-8CD1-4DA4-A800-26CD21DBF539}"/>
            </a:ext>
          </a:extLst>
        </xdr:cNvPr>
        <xdr:cNvGrpSpPr/>
      </xdr:nvGrpSpPr>
      <xdr:grpSpPr>
        <a:xfrm>
          <a:off x="8858250" y="438150"/>
          <a:ext cx="1981199" cy="257175"/>
          <a:chOff x="7981950" y="3267075"/>
          <a:chExt cx="1276350" cy="257175"/>
        </a:xfrm>
      </xdr:grpSpPr>
      <xdr:sp macro="" textlink="">
        <xdr:nvSpPr>
          <xdr:cNvPr id="59" name="Rectangle: Rounded Corners 58">
            <a:extLst>
              <a:ext uri="{FF2B5EF4-FFF2-40B4-BE49-F238E27FC236}">
                <a16:creationId xmlns:a16="http://schemas.microsoft.com/office/drawing/2014/main" id="{92AD08AD-0C26-47D3-AA4B-66D1ED07B677}"/>
              </a:ext>
            </a:extLst>
          </xdr:cNvPr>
          <xdr:cNvSpPr/>
        </xdr:nvSpPr>
        <xdr:spPr>
          <a:xfrm>
            <a:off x="7981950" y="3314700"/>
            <a:ext cx="1276350" cy="209550"/>
          </a:xfrm>
          <a:prstGeom prst="roundRect">
            <a:avLst/>
          </a:prstGeom>
          <a:solidFill>
            <a:sysClr val="window" lastClr="FFFFFF">
              <a:alpha val="29000"/>
            </a:sys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60" name="TextBox 59">
            <a:extLst>
              <a:ext uri="{FF2B5EF4-FFF2-40B4-BE49-F238E27FC236}">
                <a16:creationId xmlns:a16="http://schemas.microsoft.com/office/drawing/2014/main" id="{34881FCE-DF4C-4ED1-9CE6-450B03DA4456}"/>
              </a:ext>
            </a:extLst>
          </xdr:cNvPr>
          <xdr:cNvSpPr txBox="1"/>
        </xdr:nvSpPr>
        <xdr:spPr>
          <a:xfrm>
            <a:off x="8039099" y="3267075"/>
            <a:ext cx="1133475" cy="24765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rPr>
              <a:t>Amarilla Performance</a:t>
            </a:r>
          </a:p>
        </xdr:txBody>
      </xdr:sp>
    </xdr:grpSp>
    <xdr:clientData/>
  </xdr:twoCellAnchor>
  <xdr:twoCellAnchor>
    <xdr:from>
      <xdr:col>14</xdr:col>
      <xdr:colOff>400050</xdr:colOff>
      <xdr:row>4</xdr:row>
      <xdr:rowOff>19049</xdr:rowOff>
    </xdr:from>
    <xdr:to>
      <xdr:col>18</xdr:col>
      <xdr:colOff>514350</xdr:colOff>
      <xdr:row>14</xdr:row>
      <xdr:rowOff>104775</xdr:rowOff>
    </xdr:to>
    <xdr:sp macro="" textlink="">
      <xdr:nvSpPr>
        <xdr:cNvPr id="61" name="TextBox 5">
          <a:extLst>
            <a:ext uri="{FF2B5EF4-FFF2-40B4-BE49-F238E27FC236}">
              <a16:creationId xmlns:a16="http://schemas.microsoft.com/office/drawing/2014/main" id="{AFA10E69-EF3E-419B-BC68-F0260AA762FB}"/>
            </a:ext>
          </a:extLst>
        </xdr:cNvPr>
        <xdr:cNvSpPr txBox="1"/>
      </xdr:nvSpPr>
      <xdr:spPr>
        <a:xfrm>
          <a:off x="8934450" y="666749"/>
          <a:ext cx="2552700" cy="1704976"/>
        </a:xfrm>
        <a:prstGeom prst="rect">
          <a:avLst/>
        </a:prstGeom>
        <a:noFill/>
        <a:ln>
          <a:noFill/>
        </a:ln>
        <a:effectLst/>
      </xdr:spPr>
      <xdr:txBody>
        <a:bodyPr vertOverflow="clip" horzOverflow="clip" wrap="none" rtlCol="0" anchor="t">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a:ln>
                <a:noFill/>
              </a:ln>
              <a:solidFill>
                <a:schemeClr val="bg1"/>
              </a:solidFill>
              <a:effectLst/>
              <a:uLnTx/>
              <a:uFillTx/>
              <a:latin typeface="Arial"/>
              <a:ea typeface="+mn-ea"/>
              <a:cs typeface="Arial"/>
            </a:rPr>
            <a:t>HS:     GS&gt;SBS,HDB LS:       HP:     LP: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Sales in France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GS sales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Sales in SBS and ES </a:t>
          </a:r>
        </a:p>
        <a:p>
          <a:pPr marL="0" marR="0" lvl="0" indent="0" algn="l" defTabSz="914400" eaLnBrk="1" fontAlgn="auto" latinLnBrk="0" hangingPunct="1">
            <a:lnSpc>
              <a:spcPct val="150000"/>
            </a:lnSpc>
            <a:spcBef>
              <a:spcPts val="0"/>
            </a:spcBef>
            <a:spcAft>
              <a:spcPts val="0"/>
            </a:spcAft>
            <a:buClrTx/>
            <a:buSzTx/>
            <a:buFontTx/>
            <a:buNone/>
            <a:tabLst/>
            <a:defRPr/>
          </a:pPr>
          <a:r>
            <a:rPr kumimoji="0" lang="en-IN" sz="1000" b="0" i="0" u="none" strike="noStrike" kern="0" cap="none" spc="0" normalizeH="0" baseline="0">
              <a:ln>
                <a:noFill/>
              </a:ln>
              <a:solidFill>
                <a:schemeClr val="bg1"/>
              </a:solidFill>
              <a:effectLst/>
              <a:uLnTx/>
              <a:uFillTx/>
              <a:latin typeface="Arial"/>
              <a:ea typeface="+mn-ea"/>
              <a:cs typeface="Arial"/>
            </a:rPr>
            <a:t>SBS and ES -</a:t>
          </a:r>
          <a:r>
            <a:rPr kumimoji="0" lang="en-IN" sz="1400" b="0" i="0" u="none" strike="noStrike" kern="0" cap="none" spc="0" normalizeH="0" baseline="0">
              <a:ln>
                <a:noFill/>
              </a:ln>
              <a:solidFill>
                <a:schemeClr val="bg1"/>
              </a:solidFill>
              <a:effectLst/>
              <a:uLnTx/>
              <a:uFillTx/>
              <a:latin typeface="Arial"/>
              <a:ea typeface="+mn-ea"/>
              <a:cs typeface="Arial"/>
            </a:rPr>
            <a:t>not profitable</a:t>
          </a:r>
          <a:r>
            <a:rPr kumimoji="0" lang="en-IN" sz="1000" b="0" i="0" u="none" strike="noStrike" kern="0" cap="none" spc="0" normalizeH="0" baseline="0">
              <a:ln>
                <a:noFill/>
              </a:ln>
              <a:solidFill>
                <a:schemeClr val="bg1"/>
              </a:solidFill>
              <a:effectLst/>
              <a:uLnTx/>
              <a:uFillTx/>
              <a:latin typeface="Arial"/>
              <a:ea typeface="+mn-ea"/>
              <a:cs typeface="Arial"/>
            </a:rPr>
            <a:t>.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400" b="0" i="0" u="none" strike="noStrike" kern="0" cap="none" spc="0" normalizeH="0" baseline="0">
              <a:ln>
                <a:noFill/>
              </a:ln>
              <a:solidFill>
                <a:schemeClr val="bg1"/>
              </a:solidFill>
              <a:effectLst/>
              <a:uLnTx/>
              <a:uFillTx/>
              <a:latin typeface="Arial"/>
              <a:ea typeface="+mn-ea"/>
              <a:cs typeface="Arial"/>
            </a:rPr>
            <a:t>       Increase discount </a:t>
          </a:r>
          <a:r>
            <a:rPr kumimoji="0" lang="en-IN" sz="1000" b="0" i="0" u="none" strike="noStrike" kern="0" cap="none" spc="0" normalizeH="0" baseline="0">
              <a:ln>
                <a:noFill/>
              </a:ln>
              <a:solidFill>
                <a:schemeClr val="bg1"/>
              </a:solidFill>
              <a:effectLst/>
              <a:uLnTx/>
              <a:uFillTx/>
              <a:latin typeface="Arial"/>
              <a:ea typeface="+mn-ea"/>
              <a:cs typeface="Arial"/>
            </a:rPr>
            <a:t>on </a:t>
          </a:r>
          <a:r>
            <a:rPr kumimoji="0" lang="en-IN" sz="1400" b="0" i="0" u="none" strike="noStrike" kern="0" cap="none" spc="0" normalizeH="0" baseline="0">
              <a:ln>
                <a:noFill/>
              </a:ln>
              <a:solidFill>
                <a:schemeClr val="bg1"/>
              </a:solidFill>
              <a:effectLst/>
              <a:uLnTx/>
              <a:uFillTx/>
              <a:latin typeface="Arial"/>
              <a:ea typeface="+mn-ea"/>
              <a:cs typeface="Arial"/>
            </a:rPr>
            <a:t>GS</a:t>
          </a:r>
          <a:r>
            <a:rPr kumimoji="0" lang="en-IN" sz="1000" b="0" i="0" u="none" strike="noStrike" kern="0" cap="none" spc="0" normalizeH="0" baseline="0">
              <a:ln>
                <a:noFill/>
              </a:ln>
              <a:solidFill>
                <a:schemeClr val="bg1"/>
              </a:solidFill>
              <a:effectLst/>
              <a:uLnTx/>
              <a:uFillTx/>
              <a:latin typeface="Arial"/>
              <a:ea typeface="+mn-ea"/>
              <a:cs typeface="Arial"/>
            </a:rPr>
            <a:t>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CP and MM are inconsistent</a:t>
          </a:r>
        </a:p>
      </xdr:txBody>
    </xdr:sp>
    <xdr:clientData/>
  </xdr:twoCellAnchor>
  <xdr:twoCellAnchor editAs="oneCell">
    <xdr:from>
      <xdr:col>15</xdr:col>
      <xdr:colOff>104775</xdr:colOff>
      <xdr:row>4</xdr:row>
      <xdr:rowOff>85725</xdr:rowOff>
    </xdr:from>
    <xdr:to>
      <xdr:col>15</xdr:col>
      <xdr:colOff>248775</xdr:colOff>
      <xdr:row>5</xdr:row>
      <xdr:rowOff>67800</xdr:rowOff>
    </xdr:to>
    <xdr:pic>
      <xdr:nvPicPr>
        <xdr:cNvPr id="62" name="Picture 61">
          <a:extLst>
            <a:ext uri="{FF2B5EF4-FFF2-40B4-BE49-F238E27FC236}">
              <a16:creationId xmlns:a16="http://schemas.microsoft.com/office/drawing/2014/main" id="{60927326-D048-4972-BAB2-C83757A1EFA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248775" y="733425"/>
          <a:ext cx="144000" cy="144000"/>
        </a:xfrm>
        <a:prstGeom prst="rect">
          <a:avLst/>
        </a:prstGeom>
      </xdr:spPr>
    </xdr:pic>
    <xdr:clientData/>
  </xdr:twoCellAnchor>
  <xdr:twoCellAnchor editAs="oneCell">
    <xdr:from>
      <xdr:col>17</xdr:col>
      <xdr:colOff>152400</xdr:colOff>
      <xdr:row>4</xdr:row>
      <xdr:rowOff>85725</xdr:rowOff>
    </xdr:from>
    <xdr:to>
      <xdr:col>17</xdr:col>
      <xdr:colOff>296400</xdr:colOff>
      <xdr:row>5</xdr:row>
      <xdr:rowOff>67800</xdr:rowOff>
    </xdr:to>
    <xdr:pic>
      <xdr:nvPicPr>
        <xdr:cNvPr id="63" name="Picture 62">
          <a:extLst>
            <a:ext uri="{FF2B5EF4-FFF2-40B4-BE49-F238E27FC236}">
              <a16:creationId xmlns:a16="http://schemas.microsoft.com/office/drawing/2014/main" id="{44FB3EE6-23B2-430A-AF8B-053A42FFCC0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515600" y="733425"/>
          <a:ext cx="144000" cy="144000"/>
        </a:xfrm>
        <a:prstGeom prst="rect">
          <a:avLst/>
        </a:prstGeom>
      </xdr:spPr>
    </xdr:pic>
    <xdr:clientData/>
  </xdr:twoCellAnchor>
  <xdr:twoCellAnchor>
    <xdr:from>
      <xdr:col>0</xdr:col>
      <xdr:colOff>600075</xdr:colOff>
      <xdr:row>17</xdr:row>
      <xdr:rowOff>19051</xdr:rowOff>
    </xdr:from>
    <xdr:to>
      <xdr:col>4</xdr:col>
      <xdr:colOff>219075</xdr:colOff>
      <xdr:row>26</xdr:row>
      <xdr:rowOff>76200</xdr:rowOff>
    </xdr:to>
    <xdr:sp macro="" textlink="">
      <xdr:nvSpPr>
        <xdr:cNvPr id="66" name="TextBox 5">
          <a:extLst>
            <a:ext uri="{FF2B5EF4-FFF2-40B4-BE49-F238E27FC236}">
              <a16:creationId xmlns:a16="http://schemas.microsoft.com/office/drawing/2014/main" id="{0B0C898D-AAAE-415A-A3A9-CE60D4584760}"/>
            </a:ext>
          </a:extLst>
        </xdr:cNvPr>
        <xdr:cNvSpPr txBox="1"/>
      </xdr:nvSpPr>
      <xdr:spPr>
        <a:xfrm>
          <a:off x="600075" y="2771776"/>
          <a:ext cx="2057400" cy="1514474"/>
        </a:xfrm>
        <a:prstGeom prst="rect">
          <a:avLst/>
        </a:prstGeom>
        <a:noFill/>
        <a:ln>
          <a:noFill/>
        </a:ln>
        <a:effectLst/>
      </xdr:spPr>
      <xdr:txBody>
        <a:bodyPr vertOverflow="clip" horzOverflow="clip" wrap="none" rtlCol="0" anchor="t">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a:ln>
                <a:noFill/>
              </a:ln>
              <a:solidFill>
                <a:schemeClr val="bg1"/>
              </a:solidFill>
              <a:effectLst/>
              <a:uLnTx/>
              <a:uFillTx/>
              <a:latin typeface="Arial"/>
              <a:ea typeface="+mn-ea"/>
              <a:cs typeface="Arial"/>
            </a:rPr>
            <a:t>HS:     GS&gt;ES&gt;SBS,HDB LS: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a:ln>
                <a:noFill/>
              </a:ln>
              <a:solidFill>
                <a:schemeClr val="bg1"/>
              </a:solidFill>
              <a:effectLst/>
              <a:uLnTx/>
              <a:uFillTx/>
              <a:latin typeface="Arial"/>
              <a:ea typeface="+mn-ea"/>
              <a:cs typeface="Arial"/>
            </a:rPr>
            <a:t>HP:         LP: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Sales trend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In USA ,sales are through CP</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ES sales are influenced by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discount ;no significant profit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Discount may increase in GS </a:t>
          </a:r>
        </a:p>
      </xdr:txBody>
    </xdr:sp>
    <xdr:clientData/>
  </xdr:twoCellAnchor>
  <xdr:twoCellAnchor editAs="oneCell">
    <xdr:from>
      <xdr:col>1</xdr:col>
      <xdr:colOff>304800</xdr:colOff>
      <xdr:row>17</xdr:row>
      <xdr:rowOff>57150</xdr:rowOff>
    </xdr:from>
    <xdr:to>
      <xdr:col>1</xdr:col>
      <xdr:colOff>448800</xdr:colOff>
      <xdr:row>18</xdr:row>
      <xdr:rowOff>39225</xdr:rowOff>
    </xdr:to>
    <xdr:pic>
      <xdr:nvPicPr>
        <xdr:cNvPr id="67" name="Picture 66">
          <a:extLst>
            <a:ext uri="{FF2B5EF4-FFF2-40B4-BE49-F238E27FC236}">
              <a16:creationId xmlns:a16="http://schemas.microsoft.com/office/drawing/2014/main" id="{E51C5E2F-3834-4D50-8C11-9F076118B2F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14400" y="2809875"/>
          <a:ext cx="144000" cy="144000"/>
        </a:xfrm>
        <a:prstGeom prst="rect">
          <a:avLst/>
        </a:prstGeom>
      </xdr:spPr>
    </xdr:pic>
    <xdr:clientData/>
  </xdr:twoCellAnchor>
  <xdr:twoCellAnchor editAs="oneCell">
    <xdr:from>
      <xdr:col>2</xdr:col>
      <xdr:colOff>209550</xdr:colOff>
      <xdr:row>18</xdr:row>
      <xdr:rowOff>66675</xdr:rowOff>
    </xdr:from>
    <xdr:to>
      <xdr:col>2</xdr:col>
      <xdr:colOff>353550</xdr:colOff>
      <xdr:row>19</xdr:row>
      <xdr:rowOff>48750</xdr:rowOff>
    </xdr:to>
    <xdr:pic>
      <xdr:nvPicPr>
        <xdr:cNvPr id="68" name="Picture 67">
          <a:extLst>
            <a:ext uri="{FF2B5EF4-FFF2-40B4-BE49-F238E27FC236}">
              <a16:creationId xmlns:a16="http://schemas.microsoft.com/office/drawing/2014/main" id="{0C912C35-32AD-467C-B989-8CCFA36C25F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428750" y="2981325"/>
          <a:ext cx="144000" cy="144000"/>
        </a:xfrm>
        <a:prstGeom prst="rect">
          <a:avLst/>
        </a:prstGeom>
      </xdr:spPr>
    </xdr:pic>
    <xdr:clientData/>
  </xdr:twoCellAnchor>
  <xdr:twoCellAnchor editAs="oneCell">
    <xdr:from>
      <xdr:col>3</xdr:col>
      <xdr:colOff>561975</xdr:colOff>
      <xdr:row>17</xdr:row>
      <xdr:rowOff>76200</xdr:rowOff>
    </xdr:from>
    <xdr:to>
      <xdr:col>4</xdr:col>
      <xdr:colOff>96375</xdr:colOff>
      <xdr:row>18</xdr:row>
      <xdr:rowOff>58275</xdr:rowOff>
    </xdr:to>
    <xdr:pic>
      <xdr:nvPicPr>
        <xdr:cNvPr id="69" name="Picture 68">
          <a:extLst>
            <a:ext uri="{FF2B5EF4-FFF2-40B4-BE49-F238E27FC236}">
              <a16:creationId xmlns:a16="http://schemas.microsoft.com/office/drawing/2014/main" id="{9C594E89-71C4-4810-BAEF-4F5CC08400D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390775" y="2828925"/>
          <a:ext cx="144000" cy="144000"/>
        </a:xfrm>
        <a:prstGeom prst="rect">
          <a:avLst/>
        </a:prstGeom>
      </xdr:spPr>
    </xdr:pic>
    <xdr:clientData/>
  </xdr:twoCellAnchor>
  <xdr:twoCellAnchor editAs="oneCell">
    <xdr:from>
      <xdr:col>1</xdr:col>
      <xdr:colOff>304800</xdr:colOff>
      <xdr:row>18</xdr:row>
      <xdr:rowOff>57150</xdr:rowOff>
    </xdr:from>
    <xdr:to>
      <xdr:col>1</xdr:col>
      <xdr:colOff>448800</xdr:colOff>
      <xdr:row>19</xdr:row>
      <xdr:rowOff>39225</xdr:rowOff>
    </xdr:to>
    <xdr:pic>
      <xdr:nvPicPr>
        <xdr:cNvPr id="70" name="Picture 69">
          <a:extLst>
            <a:ext uri="{FF2B5EF4-FFF2-40B4-BE49-F238E27FC236}">
              <a16:creationId xmlns:a16="http://schemas.microsoft.com/office/drawing/2014/main" id="{237BE116-97D9-4526-B3E4-52CD703AB0A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14400" y="2971800"/>
          <a:ext cx="144000" cy="144000"/>
        </a:xfrm>
        <a:prstGeom prst="rect">
          <a:avLst/>
        </a:prstGeom>
      </xdr:spPr>
    </xdr:pic>
    <xdr:clientData/>
  </xdr:twoCellAnchor>
  <xdr:twoCellAnchor>
    <xdr:from>
      <xdr:col>4</xdr:col>
      <xdr:colOff>295275</xdr:colOff>
      <xdr:row>16</xdr:row>
      <xdr:rowOff>85725</xdr:rowOff>
    </xdr:from>
    <xdr:to>
      <xdr:col>7</xdr:col>
      <xdr:colOff>600074</xdr:colOff>
      <xdr:row>26</xdr:row>
      <xdr:rowOff>142875</xdr:rowOff>
    </xdr:to>
    <xdr:sp macro="" textlink="">
      <xdr:nvSpPr>
        <xdr:cNvPr id="71" name="TextBox 5">
          <a:extLst>
            <a:ext uri="{FF2B5EF4-FFF2-40B4-BE49-F238E27FC236}">
              <a16:creationId xmlns:a16="http://schemas.microsoft.com/office/drawing/2014/main" id="{3CFDBEDB-FAD4-4C14-824F-AFB344BE9D55}"/>
            </a:ext>
          </a:extLst>
        </xdr:cNvPr>
        <xdr:cNvSpPr txBox="1"/>
      </xdr:nvSpPr>
      <xdr:spPr>
        <a:xfrm>
          <a:off x="2733675" y="2676525"/>
          <a:ext cx="2133599" cy="1676400"/>
        </a:xfrm>
        <a:prstGeom prst="rect">
          <a:avLst/>
        </a:prstGeom>
        <a:noFill/>
        <a:ln>
          <a:noFill/>
        </a:ln>
        <a:effectLst/>
      </xdr:spPr>
      <xdr:txBody>
        <a:bodyPr vertOverflow="clip" horzOverflow="clip" wrap="none" rtlCol="0" anchor="t">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a:ln>
                <a:noFill/>
              </a:ln>
              <a:solidFill>
                <a:schemeClr val="bg1"/>
              </a:solidFill>
              <a:effectLst/>
              <a:uLnTx/>
              <a:uFillTx/>
              <a:latin typeface="Arial"/>
              <a:ea typeface="+mn-ea"/>
              <a:cs typeface="Arial"/>
            </a:rPr>
            <a:t>HS:     SBS&gt;GS&gt;,MDB LS: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a:ln>
                <a:noFill/>
              </a:ln>
              <a:solidFill>
                <a:schemeClr val="bg1"/>
              </a:solidFill>
              <a:effectLst/>
              <a:uLnTx/>
              <a:uFillTx/>
              <a:latin typeface="Arial"/>
              <a:ea typeface="+mn-ea"/>
              <a:cs typeface="Arial"/>
            </a:rPr>
            <a:t>HP:         LP:   </a:t>
          </a:r>
        </a:p>
        <a:p>
          <a:pPr marL="171450" marR="0" lvl="0" indent="-171450" algn="l" defTabSz="914400" eaLnBrk="1" fontAlgn="auto" latinLnBrk="0" hangingPunct="1">
            <a:lnSpc>
              <a:spcPct val="150000"/>
            </a:lnSpc>
            <a:spcBef>
              <a:spcPts val="0"/>
            </a:spcBef>
            <a:spcAft>
              <a:spcPts val="0"/>
            </a:spcAft>
            <a:buClrTx/>
            <a:buSzTx/>
            <a:buFont typeface="Wingdings" panose="05000000000000000000" pitchFamily="2" charset="2"/>
            <a:buChar char="Ø"/>
            <a:tabLst/>
            <a:defRPr/>
          </a:pPr>
          <a:endParaRPr kumimoji="0" lang="en-IN" sz="1000" b="0" i="0" u="none" strike="noStrike" kern="0" cap="none" spc="0" normalizeH="0" baseline="0">
            <a:ln>
              <a:noFill/>
            </a:ln>
            <a:solidFill>
              <a:schemeClr val="bg1"/>
            </a:solidFill>
            <a:effectLst/>
            <a:uLnTx/>
            <a:uFillTx/>
            <a:latin typeface="Arial"/>
            <a:ea typeface="+mn-ea"/>
            <a:cs typeface="Arial"/>
          </a:endParaRPr>
        </a:p>
        <a:p>
          <a:pPr marL="171450" marR="0" lvl="0" indent="-171450" algn="l" defTabSz="914400" eaLnBrk="1" fontAlgn="auto" latinLnBrk="0" hangingPunct="1">
            <a:lnSpc>
              <a:spcPct val="150000"/>
            </a:lnSpc>
            <a:spcBef>
              <a:spcPts val="0"/>
            </a:spcBef>
            <a:spcAft>
              <a:spcPts val="0"/>
            </a:spcAft>
            <a:buClrTx/>
            <a:buSzTx/>
            <a:buFont typeface="Wingdings" panose="05000000000000000000" pitchFamily="2" charset="2"/>
            <a:buChar char="Ø"/>
            <a:tabLst/>
            <a:defRPr/>
          </a:pPr>
          <a:endParaRPr kumimoji="0" lang="en-IN" sz="1000" b="0" i="0" u="none" strike="noStrike" kern="0" cap="none" spc="0" normalizeH="0" baseline="0">
            <a:ln>
              <a:noFill/>
            </a:ln>
            <a:solidFill>
              <a:schemeClr val="bg1"/>
            </a:solidFill>
            <a:effectLst/>
            <a:uLnTx/>
            <a:uFillTx/>
            <a:latin typeface="Arial"/>
            <a:ea typeface="+mn-ea"/>
            <a:cs typeface="Arial"/>
          </a:endParaRP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Sales in SBS is inconsistent</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GS sales is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Discount ,sales &amp; profit are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positive correlation</a:t>
          </a:r>
        </a:p>
      </xdr:txBody>
    </xdr:sp>
    <xdr:clientData/>
  </xdr:twoCellAnchor>
  <xdr:twoCellAnchor editAs="oneCell">
    <xdr:from>
      <xdr:col>4</xdr:col>
      <xdr:colOff>600075</xdr:colOff>
      <xdr:row>16</xdr:row>
      <xdr:rowOff>133350</xdr:rowOff>
    </xdr:from>
    <xdr:to>
      <xdr:col>5</xdr:col>
      <xdr:colOff>134475</xdr:colOff>
      <xdr:row>17</xdr:row>
      <xdr:rowOff>115425</xdr:rowOff>
    </xdr:to>
    <xdr:pic>
      <xdr:nvPicPr>
        <xdr:cNvPr id="72" name="Picture 71">
          <a:extLst>
            <a:ext uri="{FF2B5EF4-FFF2-40B4-BE49-F238E27FC236}">
              <a16:creationId xmlns:a16="http://schemas.microsoft.com/office/drawing/2014/main" id="{6AE5D9B2-A5D3-4C3B-99C1-12E44AF4230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038475" y="2724150"/>
          <a:ext cx="144000" cy="144000"/>
        </a:xfrm>
        <a:prstGeom prst="rect">
          <a:avLst/>
        </a:prstGeom>
      </xdr:spPr>
    </xdr:pic>
    <xdr:clientData/>
  </xdr:twoCellAnchor>
  <xdr:twoCellAnchor editAs="oneCell">
    <xdr:from>
      <xdr:col>7</xdr:col>
      <xdr:colOff>104775</xdr:colOff>
      <xdr:row>16</xdr:row>
      <xdr:rowOff>133350</xdr:rowOff>
    </xdr:from>
    <xdr:to>
      <xdr:col>7</xdr:col>
      <xdr:colOff>248775</xdr:colOff>
      <xdr:row>17</xdr:row>
      <xdr:rowOff>115425</xdr:rowOff>
    </xdr:to>
    <xdr:pic>
      <xdr:nvPicPr>
        <xdr:cNvPr id="73" name="Picture 72">
          <a:extLst>
            <a:ext uri="{FF2B5EF4-FFF2-40B4-BE49-F238E27FC236}">
              <a16:creationId xmlns:a16="http://schemas.microsoft.com/office/drawing/2014/main" id="{9BE1B348-1CD2-4AFD-9995-A662645C6AE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371975" y="2724150"/>
          <a:ext cx="144000" cy="144000"/>
        </a:xfrm>
        <a:prstGeom prst="rect">
          <a:avLst/>
        </a:prstGeom>
      </xdr:spPr>
    </xdr:pic>
    <xdr:clientData/>
  </xdr:twoCellAnchor>
  <xdr:twoCellAnchor editAs="oneCell">
    <xdr:from>
      <xdr:col>4</xdr:col>
      <xdr:colOff>600075</xdr:colOff>
      <xdr:row>17</xdr:row>
      <xdr:rowOff>95250</xdr:rowOff>
    </xdr:from>
    <xdr:to>
      <xdr:col>5</xdr:col>
      <xdr:colOff>134475</xdr:colOff>
      <xdr:row>18</xdr:row>
      <xdr:rowOff>77325</xdr:rowOff>
    </xdr:to>
    <xdr:pic>
      <xdr:nvPicPr>
        <xdr:cNvPr id="74" name="Picture 73">
          <a:extLst>
            <a:ext uri="{FF2B5EF4-FFF2-40B4-BE49-F238E27FC236}">
              <a16:creationId xmlns:a16="http://schemas.microsoft.com/office/drawing/2014/main" id="{254BD2AF-6924-4949-B54F-3A74DE45D8E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038475" y="2847975"/>
          <a:ext cx="144000" cy="144000"/>
        </a:xfrm>
        <a:prstGeom prst="rect">
          <a:avLst/>
        </a:prstGeom>
      </xdr:spPr>
    </xdr:pic>
    <xdr:clientData/>
  </xdr:twoCellAnchor>
  <xdr:twoCellAnchor>
    <xdr:from>
      <xdr:col>6</xdr:col>
      <xdr:colOff>171451</xdr:colOff>
      <xdr:row>13</xdr:row>
      <xdr:rowOff>0</xdr:rowOff>
    </xdr:from>
    <xdr:to>
      <xdr:col>9</xdr:col>
      <xdr:colOff>76200</xdr:colOff>
      <xdr:row>16</xdr:row>
      <xdr:rowOff>28575</xdr:rowOff>
    </xdr:to>
    <xdr:graphicFrame macro="">
      <xdr:nvGraphicFramePr>
        <xdr:cNvPr id="75" name="Chart 74">
          <a:extLst>
            <a:ext uri="{FF2B5EF4-FFF2-40B4-BE49-F238E27FC236}">
              <a16:creationId xmlns:a16="http://schemas.microsoft.com/office/drawing/2014/main" id="{10734462-8271-4889-8672-C916023E9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18</xdr:col>
      <xdr:colOff>352425</xdr:colOff>
      <xdr:row>4</xdr:row>
      <xdr:rowOff>85724</xdr:rowOff>
    </xdr:from>
    <xdr:to>
      <xdr:col>18</xdr:col>
      <xdr:colOff>496425</xdr:colOff>
      <xdr:row>5</xdr:row>
      <xdr:rowOff>67799</xdr:rowOff>
    </xdr:to>
    <xdr:pic>
      <xdr:nvPicPr>
        <xdr:cNvPr id="76" name="Picture 75">
          <a:extLst>
            <a:ext uri="{FF2B5EF4-FFF2-40B4-BE49-F238E27FC236}">
              <a16:creationId xmlns:a16="http://schemas.microsoft.com/office/drawing/2014/main" id="{0239042C-C6D1-4557-BD3E-D4D4B89F88E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325225" y="733424"/>
          <a:ext cx="144000" cy="144000"/>
        </a:xfrm>
        <a:prstGeom prst="rect">
          <a:avLst/>
        </a:prstGeom>
      </xdr:spPr>
    </xdr:pic>
    <xdr:clientData/>
  </xdr:twoCellAnchor>
  <xdr:twoCellAnchor editAs="oneCell">
    <xdr:from>
      <xdr:col>17</xdr:col>
      <xdr:colOff>581025</xdr:colOff>
      <xdr:row>4</xdr:row>
      <xdr:rowOff>66674</xdr:rowOff>
    </xdr:from>
    <xdr:to>
      <xdr:col>18</xdr:col>
      <xdr:colOff>115425</xdr:colOff>
      <xdr:row>5</xdr:row>
      <xdr:rowOff>48749</xdr:rowOff>
    </xdr:to>
    <xdr:pic>
      <xdr:nvPicPr>
        <xdr:cNvPr id="77" name="Picture 76">
          <a:extLst>
            <a:ext uri="{FF2B5EF4-FFF2-40B4-BE49-F238E27FC236}">
              <a16:creationId xmlns:a16="http://schemas.microsoft.com/office/drawing/2014/main" id="{E321011A-1F7C-41AA-A9B5-AED1D7D647A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944225" y="714374"/>
          <a:ext cx="144000" cy="144000"/>
        </a:xfrm>
        <a:prstGeom prst="rect">
          <a:avLst/>
        </a:prstGeom>
      </xdr:spPr>
    </xdr:pic>
    <xdr:clientData/>
  </xdr:twoCellAnchor>
  <xdr:twoCellAnchor editAs="oneCell">
    <xdr:from>
      <xdr:col>5</xdr:col>
      <xdr:colOff>514350</xdr:colOff>
      <xdr:row>17</xdr:row>
      <xdr:rowOff>123825</xdr:rowOff>
    </xdr:from>
    <xdr:to>
      <xdr:col>6</xdr:col>
      <xdr:colOff>48750</xdr:colOff>
      <xdr:row>18</xdr:row>
      <xdr:rowOff>105900</xdr:rowOff>
    </xdr:to>
    <xdr:pic>
      <xdr:nvPicPr>
        <xdr:cNvPr id="79" name="Picture 78">
          <a:extLst>
            <a:ext uri="{FF2B5EF4-FFF2-40B4-BE49-F238E27FC236}">
              <a16:creationId xmlns:a16="http://schemas.microsoft.com/office/drawing/2014/main" id="{F22D91E7-2DD3-499A-8EA3-4FEA784E226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562350" y="2876550"/>
          <a:ext cx="144000" cy="144000"/>
        </a:xfrm>
        <a:prstGeom prst="rect">
          <a:avLst/>
        </a:prstGeom>
      </xdr:spPr>
    </xdr:pic>
    <xdr:clientData/>
  </xdr:twoCellAnchor>
  <xdr:twoCellAnchor>
    <xdr:from>
      <xdr:col>8</xdr:col>
      <xdr:colOff>123825</xdr:colOff>
      <xdr:row>16</xdr:row>
      <xdr:rowOff>133351</xdr:rowOff>
    </xdr:from>
    <xdr:to>
      <xdr:col>11</xdr:col>
      <xdr:colOff>419100</xdr:colOff>
      <xdr:row>26</xdr:row>
      <xdr:rowOff>152401</xdr:rowOff>
    </xdr:to>
    <xdr:sp macro="" textlink="">
      <xdr:nvSpPr>
        <xdr:cNvPr id="80" name="TextBox 5">
          <a:extLst>
            <a:ext uri="{FF2B5EF4-FFF2-40B4-BE49-F238E27FC236}">
              <a16:creationId xmlns:a16="http://schemas.microsoft.com/office/drawing/2014/main" id="{2DBBE976-3E5A-4826-B11C-A367CC407748}"/>
            </a:ext>
          </a:extLst>
        </xdr:cNvPr>
        <xdr:cNvSpPr txBox="1"/>
      </xdr:nvSpPr>
      <xdr:spPr>
        <a:xfrm>
          <a:off x="5000625" y="2724151"/>
          <a:ext cx="2124075" cy="1638300"/>
        </a:xfrm>
        <a:prstGeom prst="rect">
          <a:avLst/>
        </a:prstGeom>
        <a:noFill/>
        <a:ln>
          <a:noFill/>
        </a:ln>
        <a:effectLst/>
      </xdr:spPr>
      <xdr:txBody>
        <a:bodyPr vertOverflow="clip" horzOverflow="clip" wrap="none" rtlCol="0" anchor="t">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a:ln>
                <a:noFill/>
              </a:ln>
              <a:solidFill>
                <a:schemeClr val="bg1"/>
              </a:solidFill>
              <a:effectLst/>
              <a:uLnTx/>
              <a:uFillTx/>
              <a:latin typeface="Arial"/>
              <a:ea typeface="+mn-ea"/>
              <a:cs typeface="Arial"/>
            </a:rPr>
            <a:t>HS:     GS&gt;SBS&gt;ES,M DB  LS: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a:ln>
                <a:noFill/>
              </a:ln>
              <a:solidFill>
                <a:schemeClr val="bg1"/>
              </a:solidFill>
              <a:effectLst/>
              <a:uLnTx/>
              <a:uFillTx/>
              <a:latin typeface="Arial"/>
              <a:ea typeface="+mn-ea"/>
              <a:cs typeface="Arial"/>
            </a:rPr>
            <a:t>HP:         LP:   </a:t>
          </a:r>
        </a:p>
        <a:p>
          <a:pPr marL="0" marR="0" lvl="0" indent="0" algn="l" defTabSz="914400" eaLnBrk="1" fontAlgn="auto" latinLnBrk="0" hangingPunct="1">
            <a:lnSpc>
              <a:spcPct val="20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GS and SBS Sales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In Germany sales are throoug CP</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Discount sales as well as profit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are positively correlated</a:t>
          </a:r>
        </a:p>
      </xdr:txBody>
    </xdr:sp>
    <xdr:clientData/>
  </xdr:twoCellAnchor>
  <xdr:twoCellAnchor editAs="oneCell">
    <xdr:from>
      <xdr:col>8</xdr:col>
      <xdr:colOff>428625</xdr:colOff>
      <xdr:row>17</xdr:row>
      <xdr:rowOff>38100</xdr:rowOff>
    </xdr:from>
    <xdr:to>
      <xdr:col>8</xdr:col>
      <xdr:colOff>572625</xdr:colOff>
      <xdr:row>18</xdr:row>
      <xdr:rowOff>20175</xdr:rowOff>
    </xdr:to>
    <xdr:pic>
      <xdr:nvPicPr>
        <xdr:cNvPr id="81" name="Picture 80">
          <a:extLst>
            <a:ext uri="{FF2B5EF4-FFF2-40B4-BE49-F238E27FC236}">
              <a16:creationId xmlns:a16="http://schemas.microsoft.com/office/drawing/2014/main" id="{45E74F56-F619-45B0-8226-2DF3EC2277F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305425" y="2790825"/>
          <a:ext cx="144000" cy="144000"/>
        </a:xfrm>
        <a:prstGeom prst="rect">
          <a:avLst/>
        </a:prstGeom>
      </xdr:spPr>
    </xdr:pic>
    <xdr:clientData/>
  </xdr:twoCellAnchor>
  <xdr:twoCellAnchor editAs="oneCell">
    <xdr:from>
      <xdr:col>8</xdr:col>
      <xdr:colOff>447675</xdr:colOff>
      <xdr:row>18</xdr:row>
      <xdr:rowOff>9525</xdr:rowOff>
    </xdr:from>
    <xdr:to>
      <xdr:col>8</xdr:col>
      <xdr:colOff>591675</xdr:colOff>
      <xdr:row>18</xdr:row>
      <xdr:rowOff>153525</xdr:rowOff>
    </xdr:to>
    <xdr:pic>
      <xdr:nvPicPr>
        <xdr:cNvPr id="82" name="Picture 81">
          <a:extLst>
            <a:ext uri="{FF2B5EF4-FFF2-40B4-BE49-F238E27FC236}">
              <a16:creationId xmlns:a16="http://schemas.microsoft.com/office/drawing/2014/main" id="{1D4244A4-C0D2-4F5A-8070-A861A66F495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324475" y="2924175"/>
          <a:ext cx="144000" cy="144000"/>
        </a:xfrm>
        <a:prstGeom prst="rect">
          <a:avLst/>
        </a:prstGeom>
      </xdr:spPr>
    </xdr:pic>
    <xdr:clientData/>
  </xdr:twoCellAnchor>
  <xdr:twoCellAnchor editAs="oneCell">
    <xdr:from>
      <xdr:col>9</xdr:col>
      <xdr:colOff>352425</xdr:colOff>
      <xdr:row>18</xdr:row>
      <xdr:rowOff>9525</xdr:rowOff>
    </xdr:from>
    <xdr:to>
      <xdr:col>9</xdr:col>
      <xdr:colOff>496425</xdr:colOff>
      <xdr:row>18</xdr:row>
      <xdr:rowOff>153525</xdr:rowOff>
    </xdr:to>
    <xdr:pic>
      <xdr:nvPicPr>
        <xdr:cNvPr id="83" name="Picture 82">
          <a:extLst>
            <a:ext uri="{FF2B5EF4-FFF2-40B4-BE49-F238E27FC236}">
              <a16:creationId xmlns:a16="http://schemas.microsoft.com/office/drawing/2014/main" id="{27E9CCC6-0A68-420E-BCDF-C6E007F1F5A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38825" y="2924175"/>
          <a:ext cx="144000" cy="144000"/>
        </a:xfrm>
        <a:prstGeom prst="rect">
          <a:avLst/>
        </a:prstGeom>
      </xdr:spPr>
    </xdr:pic>
    <xdr:clientData/>
  </xdr:twoCellAnchor>
  <xdr:twoCellAnchor editAs="oneCell">
    <xdr:from>
      <xdr:col>11</xdr:col>
      <xdr:colOff>161925</xdr:colOff>
      <xdr:row>17</xdr:row>
      <xdr:rowOff>9525</xdr:rowOff>
    </xdr:from>
    <xdr:to>
      <xdr:col>11</xdr:col>
      <xdr:colOff>305925</xdr:colOff>
      <xdr:row>17</xdr:row>
      <xdr:rowOff>153525</xdr:rowOff>
    </xdr:to>
    <xdr:pic>
      <xdr:nvPicPr>
        <xdr:cNvPr id="84" name="Picture 83">
          <a:extLst>
            <a:ext uri="{FF2B5EF4-FFF2-40B4-BE49-F238E27FC236}">
              <a16:creationId xmlns:a16="http://schemas.microsoft.com/office/drawing/2014/main" id="{DE0D9FA1-A54D-4265-BCA6-CC2BAFFE7CF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7525" y="2762250"/>
          <a:ext cx="144000" cy="144000"/>
        </a:xfrm>
        <a:prstGeom prst="rect">
          <a:avLst/>
        </a:prstGeom>
      </xdr:spPr>
    </xdr:pic>
    <xdr:clientData/>
  </xdr:twoCellAnchor>
  <xdr:twoCellAnchor>
    <xdr:from>
      <xdr:col>11</xdr:col>
      <xdr:colOff>409575</xdr:colOff>
      <xdr:row>16</xdr:row>
      <xdr:rowOff>123825</xdr:rowOff>
    </xdr:from>
    <xdr:to>
      <xdr:col>15</xdr:col>
      <xdr:colOff>95250</xdr:colOff>
      <xdr:row>26</xdr:row>
      <xdr:rowOff>38100</xdr:rowOff>
    </xdr:to>
    <xdr:sp macro="" textlink="">
      <xdr:nvSpPr>
        <xdr:cNvPr id="85" name="TextBox 5">
          <a:extLst>
            <a:ext uri="{FF2B5EF4-FFF2-40B4-BE49-F238E27FC236}">
              <a16:creationId xmlns:a16="http://schemas.microsoft.com/office/drawing/2014/main" id="{71FE87C9-13FD-4CBC-8B37-B5019A732A05}"/>
            </a:ext>
          </a:extLst>
        </xdr:cNvPr>
        <xdr:cNvSpPr txBox="1"/>
      </xdr:nvSpPr>
      <xdr:spPr>
        <a:xfrm>
          <a:off x="7115175" y="2714625"/>
          <a:ext cx="2124075" cy="1533525"/>
        </a:xfrm>
        <a:prstGeom prst="rect">
          <a:avLst/>
        </a:prstGeom>
        <a:noFill/>
        <a:ln>
          <a:noFill/>
        </a:ln>
        <a:effectLst/>
      </xdr:spPr>
      <xdr:txBody>
        <a:bodyPr vertOverflow="clip" horzOverflow="clip" wrap="none" rtlCol="0" anchor="t">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a:ln>
                <a:noFill/>
              </a:ln>
              <a:solidFill>
                <a:schemeClr val="bg1"/>
              </a:solidFill>
              <a:effectLst/>
              <a:uLnTx/>
              <a:uFillTx/>
              <a:latin typeface="Arial"/>
              <a:ea typeface="+mn-ea"/>
              <a:cs typeface="Arial"/>
            </a:rPr>
            <a:t>HS:     GS&gt;SBS&gt;ES,MDB LS: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a:ln>
                <a:noFill/>
              </a:ln>
              <a:solidFill>
                <a:schemeClr val="bg1"/>
              </a:solidFill>
              <a:effectLst/>
              <a:uLnTx/>
              <a:uFillTx/>
              <a:latin typeface="Arial"/>
              <a:ea typeface="+mn-ea"/>
              <a:cs typeface="Arial"/>
            </a:rPr>
            <a:t>HP:         LP:   </a:t>
          </a:r>
        </a:p>
        <a:p>
          <a:pPr marL="0" marR="0" lvl="0" indent="0" algn="l" defTabSz="914400" eaLnBrk="1" fontAlgn="auto" latinLnBrk="0" hangingPunct="1">
            <a:lnSpc>
              <a:spcPct val="20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GS is declining slowly, </a:t>
          </a:r>
        </a:p>
        <a:p>
          <a:pPr marL="0" marR="0" lvl="0" indent="0" algn="l" defTabSz="914400" eaLnBrk="1" fontAlgn="auto" latinLnBrk="0" hangingPunct="1">
            <a:lnSpc>
              <a:spcPct val="20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ES sales shows </a:t>
          </a:r>
        </a:p>
        <a:p>
          <a:pPr marL="0" marR="0" lvl="0" indent="0" algn="l" defTabSz="914400" eaLnBrk="1" fontAlgn="auto" latinLnBrk="0" hangingPunct="1">
            <a:lnSpc>
              <a:spcPct val="20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due to discount ; not profitable. </a:t>
          </a:r>
        </a:p>
        <a:p>
          <a:pPr marL="0" marR="0" lvl="0" indent="0" algn="l" defTabSz="914400" eaLnBrk="1" fontAlgn="auto" latinLnBrk="0" hangingPunct="1">
            <a:lnSpc>
              <a:spcPct val="10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           </a:t>
          </a:r>
          <a:r>
            <a:rPr kumimoji="0" lang="en-IN" sz="1100" b="0" i="0" u="none" strike="noStrike" kern="0" cap="none" spc="0" normalizeH="0" baseline="0">
              <a:ln>
                <a:noFill/>
              </a:ln>
              <a:solidFill>
                <a:schemeClr val="bg1"/>
              </a:solidFill>
              <a:effectLst/>
              <a:uLnTx/>
              <a:uFillTx/>
              <a:latin typeface="Arial"/>
              <a:ea typeface="+mn-ea"/>
              <a:cs typeface="Arial"/>
            </a:rPr>
            <a:t>Increase discount on GS </a:t>
          </a:r>
        </a:p>
        <a:p>
          <a:pPr marL="0" marR="0" lvl="0" indent="0" algn="l" defTabSz="914400" eaLnBrk="1" fontAlgn="auto" latinLnBrk="0" hangingPunct="1">
            <a:lnSpc>
              <a:spcPct val="100000"/>
            </a:lnSpc>
            <a:spcBef>
              <a:spcPts val="0"/>
            </a:spcBef>
            <a:spcAft>
              <a:spcPts val="0"/>
            </a:spcAft>
            <a:buClrTx/>
            <a:buSzTx/>
            <a:buFont typeface="Wingdings" panose="05000000000000000000" pitchFamily="2" charset="2"/>
            <a:buNone/>
            <a:tabLst/>
            <a:defRPr/>
          </a:pPr>
          <a:endParaRPr kumimoji="0" lang="en-IN" sz="1000" b="0" i="0" u="none" strike="noStrike" kern="0" cap="none" spc="0" normalizeH="0" baseline="0">
            <a:ln>
              <a:noFill/>
            </a:ln>
            <a:solidFill>
              <a:schemeClr val="bg1"/>
            </a:solidFill>
            <a:effectLst/>
            <a:uLnTx/>
            <a:uFillTx/>
            <a:latin typeface="Arial"/>
            <a:ea typeface="+mn-ea"/>
            <a:cs typeface="Arial"/>
          </a:endParaRPr>
        </a:p>
      </xdr:txBody>
    </xdr:sp>
    <xdr:clientData/>
  </xdr:twoCellAnchor>
  <xdr:twoCellAnchor editAs="oneCell">
    <xdr:from>
      <xdr:col>12</xdr:col>
      <xdr:colOff>133350</xdr:colOff>
      <xdr:row>17</xdr:row>
      <xdr:rowOff>19050</xdr:rowOff>
    </xdr:from>
    <xdr:to>
      <xdr:col>12</xdr:col>
      <xdr:colOff>277350</xdr:colOff>
      <xdr:row>18</xdr:row>
      <xdr:rowOff>1125</xdr:rowOff>
    </xdr:to>
    <xdr:pic>
      <xdr:nvPicPr>
        <xdr:cNvPr id="86" name="Picture 85">
          <a:extLst>
            <a:ext uri="{FF2B5EF4-FFF2-40B4-BE49-F238E27FC236}">
              <a16:creationId xmlns:a16="http://schemas.microsoft.com/office/drawing/2014/main" id="{8C357084-F7AD-41E4-A71F-7FC8532BF8A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448550" y="2771775"/>
          <a:ext cx="144000" cy="144000"/>
        </a:xfrm>
        <a:prstGeom prst="rect">
          <a:avLst/>
        </a:prstGeom>
      </xdr:spPr>
    </xdr:pic>
    <xdr:clientData/>
  </xdr:twoCellAnchor>
  <xdr:twoCellAnchor editAs="oneCell">
    <xdr:from>
      <xdr:col>12</xdr:col>
      <xdr:colOff>190500</xdr:colOff>
      <xdr:row>17</xdr:row>
      <xdr:rowOff>142875</xdr:rowOff>
    </xdr:from>
    <xdr:to>
      <xdr:col>12</xdr:col>
      <xdr:colOff>334500</xdr:colOff>
      <xdr:row>18</xdr:row>
      <xdr:rowOff>124950</xdr:rowOff>
    </xdr:to>
    <xdr:pic>
      <xdr:nvPicPr>
        <xdr:cNvPr id="87" name="Picture 86">
          <a:extLst>
            <a:ext uri="{FF2B5EF4-FFF2-40B4-BE49-F238E27FC236}">
              <a16:creationId xmlns:a16="http://schemas.microsoft.com/office/drawing/2014/main" id="{ABA4BE6F-EA79-49F7-AE52-B95F8D397F4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05700" y="2895600"/>
          <a:ext cx="144000" cy="144000"/>
        </a:xfrm>
        <a:prstGeom prst="rect">
          <a:avLst/>
        </a:prstGeom>
      </xdr:spPr>
    </xdr:pic>
    <xdr:clientData/>
  </xdr:twoCellAnchor>
  <xdr:twoCellAnchor editAs="oneCell">
    <xdr:from>
      <xdr:col>12</xdr:col>
      <xdr:colOff>600075</xdr:colOff>
      <xdr:row>17</xdr:row>
      <xdr:rowOff>152400</xdr:rowOff>
    </xdr:from>
    <xdr:to>
      <xdr:col>13</xdr:col>
      <xdr:colOff>134475</xdr:colOff>
      <xdr:row>18</xdr:row>
      <xdr:rowOff>134475</xdr:rowOff>
    </xdr:to>
    <xdr:pic>
      <xdr:nvPicPr>
        <xdr:cNvPr id="88" name="Picture 87">
          <a:extLst>
            <a:ext uri="{FF2B5EF4-FFF2-40B4-BE49-F238E27FC236}">
              <a16:creationId xmlns:a16="http://schemas.microsoft.com/office/drawing/2014/main" id="{19443DDE-3CDA-47DA-ACD7-D9DFA984E5B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915275" y="2905125"/>
          <a:ext cx="144000" cy="144000"/>
        </a:xfrm>
        <a:prstGeom prst="rect">
          <a:avLst/>
        </a:prstGeom>
      </xdr:spPr>
    </xdr:pic>
    <xdr:clientData/>
  </xdr:twoCellAnchor>
  <xdr:twoCellAnchor editAs="oneCell">
    <xdr:from>
      <xdr:col>14</xdr:col>
      <xdr:colOff>381000</xdr:colOff>
      <xdr:row>17</xdr:row>
      <xdr:rowOff>19050</xdr:rowOff>
    </xdr:from>
    <xdr:to>
      <xdr:col>14</xdr:col>
      <xdr:colOff>525000</xdr:colOff>
      <xdr:row>18</xdr:row>
      <xdr:rowOff>1125</xdr:rowOff>
    </xdr:to>
    <xdr:pic>
      <xdr:nvPicPr>
        <xdr:cNvPr id="89" name="Picture 88">
          <a:extLst>
            <a:ext uri="{FF2B5EF4-FFF2-40B4-BE49-F238E27FC236}">
              <a16:creationId xmlns:a16="http://schemas.microsoft.com/office/drawing/2014/main" id="{1B5B941B-F485-453E-A661-F7654E59191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915400" y="2771775"/>
          <a:ext cx="144000" cy="144000"/>
        </a:xfrm>
        <a:prstGeom prst="rect">
          <a:avLst/>
        </a:prstGeom>
      </xdr:spPr>
    </xdr:pic>
    <xdr:clientData/>
  </xdr:twoCellAnchor>
  <xdr:twoCellAnchor>
    <xdr:from>
      <xdr:col>15</xdr:col>
      <xdr:colOff>152400</xdr:colOff>
      <xdr:row>17</xdr:row>
      <xdr:rowOff>9525</xdr:rowOff>
    </xdr:from>
    <xdr:to>
      <xdr:col>18</xdr:col>
      <xdr:colOff>495299</xdr:colOff>
      <xdr:row>26</xdr:row>
      <xdr:rowOff>38100</xdr:rowOff>
    </xdr:to>
    <xdr:sp macro="" textlink="">
      <xdr:nvSpPr>
        <xdr:cNvPr id="90" name="TextBox 5">
          <a:extLst>
            <a:ext uri="{FF2B5EF4-FFF2-40B4-BE49-F238E27FC236}">
              <a16:creationId xmlns:a16="http://schemas.microsoft.com/office/drawing/2014/main" id="{9A7CCFE7-DD4B-4FB3-AE47-D117B31FDD36}"/>
            </a:ext>
          </a:extLst>
        </xdr:cNvPr>
        <xdr:cNvSpPr txBox="1"/>
      </xdr:nvSpPr>
      <xdr:spPr>
        <a:xfrm>
          <a:off x="9296400" y="2762250"/>
          <a:ext cx="2171699" cy="1485900"/>
        </a:xfrm>
        <a:prstGeom prst="rect">
          <a:avLst/>
        </a:prstGeom>
        <a:noFill/>
        <a:ln>
          <a:noFill/>
        </a:ln>
        <a:effectLst/>
      </xdr:spPr>
      <xdr:txBody>
        <a:bodyPr vertOverflow="clip" horzOverflow="clip" wrap="none" rtlCol="0" anchor="t">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a:ln>
                <a:noFill/>
              </a:ln>
              <a:solidFill>
                <a:schemeClr val="bg1"/>
              </a:solidFill>
              <a:effectLst/>
              <a:uLnTx/>
              <a:uFillTx/>
              <a:latin typeface="Arial"/>
              <a:ea typeface="+mn-ea"/>
              <a:cs typeface="Arial"/>
            </a:rPr>
            <a:t>HS:     SBS&gt;GS&gt;ES,H DB    LS: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a:ln>
                <a:noFill/>
              </a:ln>
              <a:solidFill>
                <a:schemeClr val="bg1"/>
              </a:solidFill>
              <a:effectLst/>
              <a:uLnTx/>
              <a:uFillTx/>
              <a:latin typeface="Arial"/>
              <a:ea typeface="+mn-ea"/>
              <a:cs typeface="Arial"/>
            </a:rPr>
            <a:t>HP:         LP:   </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000" b="0" i="0" u="none" strike="noStrike" kern="0" cap="none" spc="0" normalizeH="0" baseline="0">
            <a:ln>
              <a:noFill/>
            </a:ln>
            <a:solidFill>
              <a:schemeClr val="bg1"/>
            </a:solidFill>
            <a:effectLst/>
            <a:uLnTx/>
            <a:uFillTx/>
            <a:latin typeface="Arial"/>
            <a:ea typeface="+mn-ea"/>
            <a:cs typeface="Arial"/>
          </a:endParaRPr>
        </a:p>
        <a:p>
          <a:pPr marL="0" marR="0" lvl="0" indent="0" algn="l" defTabSz="914400" eaLnBrk="1" fontAlgn="auto" latinLnBrk="0" hangingPunct="1">
            <a:lnSpc>
              <a:spcPct val="10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SBS is not profitable,discount is </a:t>
          </a:r>
        </a:p>
        <a:p>
          <a:pPr marL="0" marR="0" lvl="0" indent="0" algn="l" defTabSz="914400" eaLnBrk="1" fontAlgn="auto" latinLnBrk="0" hangingPunct="1">
            <a:lnSpc>
              <a:spcPct val="20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not impacting sales positively</a:t>
          </a:r>
        </a:p>
        <a:p>
          <a:pPr marL="0" marR="0" lvl="0" indent="0" algn="l" defTabSz="914400" eaLnBrk="1" fontAlgn="auto" latinLnBrk="0" hangingPunct="1">
            <a:lnSpc>
              <a:spcPct val="20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GS is profitable, discount and </a:t>
          </a:r>
        </a:p>
        <a:p>
          <a:pPr marL="0" marR="0" lvl="0" indent="0" algn="l" defTabSz="914400" eaLnBrk="1" fontAlgn="auto" latinLnBrk="0" hangingPunct="1">
            <a:lnSpc>
              <a:spcPct val="10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sales are positively correlated</a:t>
          </a:r>
        </a:p>
        <a:p>
          <a:pPr marL="0" marR="0" lvl="0" indent="0" algn="l" defTabSz="914400" eaLnBrk="1" fontAlgn="auto" latinLnBrk="0" hangingPunct="1">
            <a:lnSpc>
              <a:spcPct val="100000"/>
            </a:lnSpc>
            <a:spcBef>
              <a:spcPts val="0"/>
            </a:spcBef>
            <a:spcAft>
              <a:spcPts val="0"/>
            </a:spcAft>
            <a:buClrTx/>
            <a:buSzTx/>
            <a:buFont typeface="Wingdings" panose="05000000000000000000" pitchFamily="2" charset="2"/>
            <a:buNone/>
            <a:tabLst/>
            <a:defRPr/>
          </a:pPr>
          <a:endParaRPr kumimoji="0" lang="en-IN" sz="1000" b="0" i="0" u="none" strike="noStrike" kern="0" cap="none" spc="0" normalizeH="0" baseline="0">
            <a:ln>
              <a:noFill/>
            </a:ln>
            <a:solidFill>
              <a:schemeClr val="bg1"/>
            </a:solidFill>
            <a:effectLst/>
            <a:uLnTx/>
            <a:uFillTx/>
            <a:latin typeface="Arial"/>
            <a:ea typeface="+mn-ea"/>
            <a:cs typeface="Arial"/>
          </a:endParaRPr>
        </a:p>
      </xdr:txBody>
    </xdr:sp>
    <xdr:clientData/>
  </xdr:twoCellAnchor>
  <xdr:twoCellAnchor editAs="oneCell">
    <xdr:from>
      <xdr:col>15</xdr:col>
      <xdr:colOff>457200</xdr:colOff>
      <xdr:row>17</xdr:row>
      <xdr:rowOff>47625</xdr:rowOff>
    </xdr:from>
    <xdr:to>
      <xdr:col>15</xdr:col>
      <xdr:colOff>601200</xdr:colOff>
      <xdr:row>18</xdr:row>
      <xdr:rowOff>29700</xdr:rowOff>
    </xdr:to>
    <xdr:pic>
      <xdr:nvPicPr>
        <xdr:cNvPr id="91" name="Picture 90">
          <a:extLst>
            <a:ext uri="{FF2B5EF4-FFF2-40B4-BE49-F238E27FC236}">
              <a16:creationId xmlns:a16="http://schemas.microsoft.com/office/drawing/2014/main" id="{ADF9E953-16DD-4A71-89E2-1AFEB556308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601200" y="2800350"/>
          <a:ext cx="144000" cy="144000"/>
        </a:xfrm>
        <a:prstGeom prst="rect">
          <a:avLst/>
        </a:prstGeom>
      </xdr:spPr>
    </xdr:pic>
    <xdr:clientData/>
  </xdr:twoCellAnchor>
  <xdr:twoCellAnchor editAs="oneCell">
    <xdr:from>
      <xdr:col>15</xdr:col>
      <xdr:colOff>476250</xdr:colOff>
      <xdr:row>18</xdr:row>
      <xdr:rowOff>38100</xdr:rowOff>
    </xdr:from>
    <xdr:to>
      <xdr:col>16</xdr:col>
      <xdr:colOff>10650</xdr:colOff>
      <xdr:row>19</xdr:row>
      <xdr:rowOff>20175</xdr:rowOff>
    </xdr:to>
    <xdr:pic>
      <xdr:nvPicPr>
        <xdr:cNvPr id="92" name="Picture 91">
          <a:extLst>
            <a:ext uri="{FF2B5EF4-FFF2-40B4-BE49-F238E27FC236}">
              <a16:creationId xmlns:a16="http://schemas.microsoft.com/office/drawing/2014/main" id="{4502BE5E-F948-4017-9FB0-B6AC4FFA24F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620250" y="2952750"/>
          <a:ext cx="144000" cy="144000"/>
        </a:xfrm>
        <a:prstGeom prst="rect">
          <a:avLst/>
        </a:prstGeom>
      </xdr:spPr>
    </xdr:pic>
    <xdr:clientData/>
  </xdr:twoCellAnchor>
  <xdr:twoCellAnchor editAs="oneCell">
    <xdr:from>
      <xdr:col>18</xdr:col>
      <xdr:colOff>247650</xdr:colOff>
      <xdr:row>17</xdr:row>
      <xdr:rowOff>47625</xdr:rowOff>
    </xdr:from>
    <xdr:to>
      <xdr:col>18</xdr:col>
      <xdr:colOff>391650</xdr:colOff>
      <xdr:row>18</xdr:row>
      <xdr:rowOff>29700</xdr:rowOff>
    </xdr:to>
    <xdr:pic>
      <xdr:nvPicPr>
        <xdr:cNvPr id="93" name="Picture 92">
          <a:extLst>
            <a:ext uri="{FF2B5EF4-FFF2-40B4-BE49-F238E27FC236}">
              <a16:creationId xmlns:a16="http://schemas.microsoft.com/office/drawing/2014/main" id="{3566E2C8-1056-49D3-87B5-CC75FAAC65F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220450" y="2800350"/>
          <a:ext cx="144000" cy="144000"/>
        </a:xfrm>
        <a:prstGeom prst="rect">
          <a:avLst/>
        </a:prstGeom>
      </xdr:spPr>
    </xdr:pic>
    <xdr:clientData/>
  </xdr:twoCellAnchor>
  <xdr:twoCellAnchor editAs="oneCell">
    <xdr:from>
      <xdr:col>16</xdr:col>
      <xdr:colOff>409575</xdr:colOff>
      <xdr:row>18</xdr:row>
      <xdr:rowOff>47625</xdr:rowOff>
    </xdr:from>
    <xdr:to>
      <xdr:col>16</xdr:col>
      <xdr:colOff>553575</xdr:colOff>
      <xdr:row>19</xdr:row>
      <xdr:rowOff>29700</xdr:rowOff>
    </xdr:to>
    <xdr:pic>
      <xdr:nvPicPr>
        <xdr:cNvPr id="94" name="Picture 93">
          <a:extLst>
            <a:ext uri="{FF2B5EF4-FFF2-40B4-BE49-F238E27FC236}">
              <a16:creationId xmlns:a16="http://schemas.microsoft.com/office/drawing/2014/main" id="{E2E11DBC-C77D-4446-AFE7-8135003129A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163175" y="2962275"/>
          <a:ext cx="144000" cy="144000"/>
        </a:xfrm>
        <a:prstGeom prst="rect">
          <a:avLst/>
        </a:prstGeom>
      </xdr:spPr>
    </xdr:pic>
    <xdr:clientData/>
  </xdr:twoCellAnchor>
  <xdr:twoCellAnchor>
    <xdr:from>
      <xdr:col>9</xdr:col>
      <xdr:colOff>495300</xdr:colOff>
      <xdr:row>3</xdr:row>
      <xdr:rowOff>95249</xdr:rowOff>
    </xdr:from>
    <xdr:to>
      <xdr:col>14</xdr:col>
      <xdr:colOff>200025</xdr:colOff>
      <xdr:row>15</xdr:row>
      <xdr:rowOff>47624</xdr:rowOff>
    </xdr:to>
    <xdr:sp macro="" textlink="">
      <xdr:nvSpPr>
        <xdr:cNvPr id="95" name="TextBox 5">
          <a:extLst>
            <a:ext uri="{FF2B5EF4-FFF2-40B4-BE49-F238E27FC236}">
              <a16:creationId xmlns:a16="http://schemas.microsoft.com/office/drawing/2014/main" id="{4AF59329-7DA2-44FA-8F43-F77DE2407F55}"/>
            </a:ext>
          </a:extLst>
        </xdr:cNvPr>
        <xdr:cNvSpPr txBox="1"/>
      </xdr:nvSpPr>
      <xdr:spPr>
        <a:xfrm>
          <a:off x="5981700" y="581024"/>
          <a:ext cx="2752725" cy="1895475"/>
        </a:xfrm>
        <a:prstGeom prst="rect">
          <a:avLst/>
        </a:prstGeom>
        <a:noFill/>
        <a:ln>
          <a:noFill/>
        </a:ln>
        <a:effectLst/>
      </xdr:spPr>
      <xdr:txBody>
        <a:bodyPr vertOverflow="clip" horzOverflow="clip" wrap="none" rtlCol="0" anchor="t">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400" b="0" i="0" u="none" strike="noStrike" kern="0" cap="none" spc="0" normalizeH="0" baseline="0">
              <a:ln>
                <a:noFill/>
              </a:ln>
              <a:solidFill>
                <a:schemeClr val="bg1"/>
              </a:solidFill>
              <a:effectLst/>
              <a:uLnTx/>
              <a:uFillTx/>
              <a:latin typeface="Arial"/>
              <a:ea typeface="+mn-ea"/>
              <a:cs typeface="Arial"/>
            </a:rPr>
            <a:t>40% </a:t>
          </a:r>
          <a:r>
            <a:rPr kumimoji="0" lang="en-IN" sz="1000" b="0" i="0" u="none" strike="noStrike" kern="0" cap="none" spc="0" normalizeH="0" baseline="0">
              <a:ln>
                <a:noFill/>
              </a:ln>
              <a:solidFill>
                <a:schemeClr val="bg1"/>
              </a:solidFill>
              <a:effectLst/>
              <a:uLnTx/>
              <a:uFillTx/>
              <a:latin typeface="Arial"/>
              <a:ea typeface="+mn-ea"/>
              <a:cs typeface="Arial"/>
            </a:rPr>
            <a:t>unit sold at </a:t>
          </a:r>
          <a:r>
            <a:rPr kumimoji="0" lang="en-IN" sz="1400" b="0" i="0" u="none" strike="noStrike" kern="0" cap="none" spc="0" normalizeH="0" baseline="0">
              <a:ln>
                <a:noFill/>
              </a:ln>
              <a:solidFill>
                <a:schemeClr val="bg1"/>
              </a:solidFill>
              <a:effectLst/>
              <a:uLnTx/>
              <a:uFillTx/>
              <a:latin typeface="Arial"/>
              <a:ea typeface="+mn-ea"/>
              <a:cs typeface="Arial"/>
            </a:rPr>
            <a:t>High Discount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400" b="0" i="0" u="none" strike="noStrike" kern="0" cap="none" spc="0" normalizeH="0" baseline="0">
              <a:ln>
                <a:noFill/>
              </a:ln>
              <a:solidFill>
                <a:schemeClr val="bg1"/>
              </a:solidFill>
              <a:effectLst/>
              <a:uLnTx/>
              <a:uFillTx/>
              <a:latin typeface="Arial"/>
              <a:ea typeface="+mn-ea"/>
              <a:cs typeface="Arial"/>
            </a:rPr>
            <a:t>6.8% </a:t>
          </a:r>
          <a:r>
            <a:rPr kumimoji="0" lang="en-IN" sz="1000" b="0" i="0" u="none" strike="noStrike" kern="0" cap="none" spc="0" normalizeH="0" baseline="0">
              <a:ln>
                <a:noFill/>
              </a:ln>
              <a:solidFill>
                <a:schemeClr val="bg1"/>
              </a:solidFill>
              <a:effectLst/>
              <a:uLnTx/>
              <a:uFillTx/>
              <a:latin typeface="Arial"/>
              <a:ea typeface="+mn-ea"/>
              <a:cs typeface="Arial"/>
            </a:rPr>
            <a:t>unit sold </a:t>
          </a:r>
          <a:r>
            <a:rPr kumimoji="0" lang="en-IN" sz="1400" b="0" i="0" u="none" strike="noStrike" kern="0" cap="none" spc="0" normalizeH="0" baseline="0">
              <a:ln>
                <a:noFill/>
              </a:ln>
              <a:solidFill>
                <a:schemeClr val="bg1"/>
              </a:solidFill>
              <a:effectLst/>
              <a:uLnTx/>
              <a:uFillTx/>
              <a:latin typeface="Arial"/>
              <a:ea typeface="+mn-ea"/>
              <a:cs typeface="Arial"/>
            </a:rPr>
            <a:t>without discount</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Sales is                </a:t>
          </a:r>
          <a:r>
            <a:rPr kumimoji="0" lang="en-IN" sz="1400" b="0" i="0" u="none" strike="noStrike" kern="0" cap="none" spc="0" normalizeH="0" baseline="0">
              <a:ln>
                <a:noFill/>
              </a:ln>
              <a:solidFill>
                <a:schemeClr val="bg1"/>
              </a:solidFill>
              <a:effectLst/>
              <a:uLnTx/>
              <a:uFillTx/>
              <a:latin typeface="Arial"/>
              <a:ea typeface="+mn-ea"/>
              <a:cs typeface="Arial"/>
            </a:rPr>
            <a:t>no seasonality </a:t>
          </a:r>
          <a:r>
            <a:rPr kumimoji="0" lang="en-IN" sz="1000" b="0" i="0" u="none" strike="noStrike" kern="0" cap="none" spc="0" normalizeH="0" baseline="0">
              <a:ln>
                <a:noFill/>
              </a:ln>
              <a:solidFill>
                <a:schemeClr val="bg1"/>
              </a:solidFill>
              <a:effectLst/>
              <a:uLnTx/>
              <a:uFillTx/>
              <a:latin typeface="Arial"/>
              <a:ea typeface="+mn-ea"/>
              <a:cs typeface="Arial"/>
            </a:rPr>
            <a:t>observed</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Sales &amp; profit  </a:t>
          </a:r>
          <a:r>
            <a:rPr kumimoji="0" lang="en-IN" sz="1400" b="0" i="0" u="none" strike="noStrike" kern="0" cap="none" spc="0" normalizeH="0" baseline="0">
              <a:ln>
                <a:noFill/>
              </a:ln>
              <a:solidFill>
                <a:schemeClr val="bg1"/>
              </a:solidFill>
              <a:effectLst/>
              <a:uLnTx/>
              <a:uFillTx/>
              <a:latin typeface="Arial"/>
              <a:ea typeface="+mn-ea"/>
              <a:cs typeface="Arial"/>
            </a:rPr>
            <a:t>infuenced by discount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400" b="0" i="0" u="none" strike="noStrike" kern="0" cap="none" spc="0" normalizeH="0" baseline="0">
              <a:ln>
                <a:noFill/>
              </a:ln>
              <a:solidFill>
                <a:schemeClr val="bg1"/>
              </a:solidFill>
              <a:effectLst/>
              <a:uLnTx/>
              <a:uFillTx/>
              <a:latin typeface="Arial"/>
              <a:ea typeface="+mn-ea"/>
              <a:cs typeface="Arial"/>
            </a:rPr>
            <a:t>Profit Ratio declined </a:t>
          </a:r>
          <a:r>
            <a:rPr kumimoji="0" lang="en-IN" sz="1000" b="0" i="0" u="none" strike="noStrike" kern="0" cap="none" spc="0" normalizeH="0" baseline="0">
              <a:ln>
                <a:noFill/>
              </a:ln>
              <a:solidFill>
                <a:schemeClr val="bg1"/>
              </a:solidFill>
              <a:effectLst/>
              <a:uLnTx/>
              <a:uFillTx/>
              <a:latin typeface="Arial"/>
              <a:ea typeface="+mn-ea"/>
              <a:cs typeface="Arial"/>
            </a:rPr>
            <a:t>on Oct'14 Due to </a:t>
          </a: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000" b="0" i="0" u="none" strike="noStrike" kern="0" cap="none" spc="0" normalizeH="0" baseline="0">
              <a:ln>
                <a:noFill/>
              </a:ln>
              <a:solidFill>
                <a:schemeClr val="bg1"/>
              </a:solidFill>
              <a:effectLst/>
              <a:uLnTx/>
              <a:uFillTx/>
              <a:latin typeface="Arial"/>
              <a:ea typeface="+mn-ea"/>
              <a:cs typeface="Arial"/>
            </a:rPr>
            <a:t>increased COGS in that period </a:t>
          </a:r>
        </a:p>
      </xdr:txBody>
    </xdr:sp>
    <xdr:clientData/>
  </xdr:twoCellAnchor>
  <xdr:twoCellAnchor>
    <xdr:from>
      <xdr:col>3</xdr:col>
      <xdr:colOff>600076</xdr:colOff>
      <xdr:row>8</xdr:row>
      <xdr:rowOff>47625</xdr:rowOff>
    </xdr:from>
    <xdr:to>
      <xdr:col>6</xdr:col>
      <xdr:colOff>342900</xdr:colOff>
      <xdr:row>13</xdr:row>
      <xdr:rowOff>133350</xdr:rowOff>
    </xdr:to>
    <xdr:graphicFrame macro="">
      <xdr:nvGraphicFramePr>
        <xdr:cNvPr id="98" name="Chart 97">
          <a:extLst>
            <a:ext uri="{FF2B5EF4-FFF2-40B4-BE49-F238E27FC236}">
              <a16:creationId xmlns:a16="http://schemas.microsoft.com/office/drawing/2014/main" id="{28FA89EB-FB22-4F90-B293-A4D30DFBA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5</xdr:col>
      <xdr:colOff>9524</xdr:colOff>
      <xdr:row>3</xdr:row>
      <xdr:rowOff>85724</xdr:rowOff>
    </xdr:from>
    <xdr:to>
      <xdr:col>5</xdr:col>
      <xdr:colOff>361949</xdr:colOff>
      <xdr:row>5</xdr:row>
      <xdr:rowOff>114299</xdr:rowOff>
    </xdr:to>
    <xdr:pic>
      <xdr:nvPicPr>
        <xdr:cNvPr id="100" name="Graphic 99" descr="Trophy">
          <a:extLst>
            <a:ext uri="{FF2B5EF4-FFF2-40B4-BE49-F238E27FC236}">
              <a16:creationId xmlns:a16="http://schemas.microsoft.com/office/drawing/2014/main" id="{834091F5-BA4B-48FC-B3B8-263529FE76A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057524" y="571499"/>
          <a:ext cx="352425" cy="352425"/>
        </a:xfrm>
        <a:prstGeom prst="rect">
          <a:avLst/>
        </a:prstGeom>
      </xdr:spPr>
    </xdr:pic>
    <xdr:clientData/>
  </xdr:twoCellAnchor>
  <xdr:twoCellAnchor>
    <xdr:from>
      <xdr:col>4</xdr:col>
      <xdr:colOff>276224</xdr:colOff>
      <xdr:row>5</xdr:row>
      <xdr:rowOff>57150</xdr:rowOff>
    </xdr:from>
    <xdr:to>
      <xdr:col>7</xdr:col>
      <xdr:colOff>361949</xdr:colOff>
      <xdr:row>8</xdr:row>
      <xdr:rowOff>19050</xdr:rowOff>
    </xdr:to>
    <xdr:sp macro="" textlink="">
      <xdr:nvSpPr>
        <xdr:cNvPr id="101" name="TextBox 5">
          <a:extLst>
            <a:ext uri="{FF2B5EF4-FFF2-40B4-BE49-F238E27FC236}">
              <a16:creationId xmlns:a16="http://schemas.microsoft.com/office/drawing/2014/main" id="{AF650C5A-A54C-4A7C-8785-D8B24850A310}"/>
            </a:ext>
          </a:extLst>
        </xdr:cNvPr>
        <xdr:cNvSpPr txBox="1"/>
      </xdr:nvSpPr>
      <xdr:spPr>
        <a:xfrm>
          <a:off x="2714624" y="866775"/>
          <a:ext cx="1914525" cy="447675"/>
        </a:xfrm>
        <a:prstGeom prst="rect">
          <a:avLst/>
        </a:prstGeom>
        <a:noFill/>
        <a:ln>
          <a:noFill/>
        </a:ln>
        <a:effectLst/>
      </xdr:spPr>
      <xdr:txBody>
        <a:bodyPr vertOverflow="clip" horzOverflow="clip" wrap="none" rtlCol="0" anchor="t">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r>
            <a:rPr kumimoji="0" lang="en-IN" sz="1600" b="0" i="0" u="none" strike="noStrike" kern="0" cap="none" spc="0" normalizeH="0" baseline="0">
              <a:ln>
                <a:noFill/>
              </a:ln>
              <a:solidFill>
                <a:schemeClr val="bg1"/>
              </a:solidFill>
              <a:effectLst/>
              <a:uLnTx/>
              <a:uFillTx/>
              <a:latin typeface="Arial"/>
              <a:ea typeface="+mn-ea"/>
              <a:cs typeface="Arial"/>
            </a:rPr>
            <a:t>    Paseo </a:t>
          </a:r>
          <a:endParaRPr kumimoji="0" lang="en-IN" sz="1000" b="0" i="0" u="none" strike="noStrike" kern="0" cap="none" spc="0" normalizeH="0" baseline="0">
            <a:ln>
              <a:noFill/>
            </a:ln>
            <a:solidFill>
              <a:schemeClr val="bg1"/>
            </a:solidFill>
            <a:effectLst/>
            <a:uLnTx/>
            <a:uFillTx/>
            <a:latin typeface="Arial"/>
            <a:ea typeface="+mn-ea"/>
            <a:cs typeface="Arial"/>
          </a:endParaRPr>
        </a:p>
        <a:p>
          <a:pPr marL="0" marR="0" lvl="0" indent="0" algn="l" defTabSz="914400" eaLnBrk="1" fontAlgn="auto" latinLnBrk="0" hangingPunct="1">
            <a:lnSpc>
              <a:spcPct val="150000"/>
            </a:lnSpc>
            <a:spcBef>
              <a:spcPts val="0"/>
            </a:spcBef>
            <a:spcAft>
              <a:spcPts val="0"/>
            </a:spcAft>
            <a:buClrTx/>
            <a:buSzTx/>
            <a:buFont typeface="Wingdings" panose="05000000000000000000" pitchFamily="2" charset="2"/>
            <a:buNone/>
            <a:tabLst/>
            <a:defRPr/>
          </a:pPr>
          <a:endParaRPr kumimoji="0" lang="en-IN" sz="1600" b="0" i="0" u="none" strike="noStrike" kern="0" cap="none" spc="0" normalizeH="0" baseline="0">
            <a:ln>
              <a:noFill/>
            </a:ln>
            <a:solidFill>
              <a:schemeClr val="bg1"/>
            </a:solidFill>
            <a:effectLst/>
            <a:uLnTx/>
            <a:uFillTx/>
            <a:latin typeface="Arial"/>
            <a:ea typeface="+mn-ea"/>
            <a:cs typeface="Arial"/>
          </a:endParaRPr>
        </a:p>
      </xdr:txBody>
    </xdr:sp>
    <xdr:clientData/>
  </xdr:twoCellAnchor>
  <xdr:twoCellAnchor editAs="oneCell">
    <xdr:from>
      <xdr:col>16</xdr:col>
      <xdr:colOff>142875</xdr:colOff>
      <xdr:row>4</xdr:row>
      <xdr:rowOff>161924</xdr:rowOff>
    </xdr:from>
    <xdr:to>
      <xdr:col>16</xdr:col>
      <xdr:colOff>571500</xdr:colOff>
      <xdr:row>7</xdr:row>
      <xdr:rowOff>0</xdr:rowOff>
    </xdr:to>
    <xdr:pic>
      <xdr:nvPicPr>
        <xdr:cNvPr id="7" name="Graphic 6" descr="Downward trend">
          <a:extLst>
            <a:ext uri="{FF2B5EF4-FFF2-40B4-BE49-F238E27FC236}">
              <a16:creationId xmlns:a16="http://schemas.microsoft.com/office/drawing/2014/main" id="{8ADC5DCF-104D-4DD3-9C45-5E7FEB6E73F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9896475" y="809624"/>
          <a:ext cx="428625" cy="323851"/>
        </a:xfrm>
        <a:prstGeom prst="rect">
          <a:avLst/>
        </a:prstGeom>
      </xdr:spPr>
    </xdr:pic>
    <xdr:clientData/>
  </xdr:twoCellAnchor>
  <xdr:twoCellAnchor editAs="oneCell">
    <xdr:from>
      <xdr:col>15</xdr:col>
      <xdr:colOff>390525</xdr:colOff>
      <xdr:row>6</xdr:row>
      <xdr:rowOff>76199</xdr:rowOff>
    </xdr:from>
    <xdr:to>
      <xdr:col>16</xdr:col>
      <xdr:colOff>209550</xdr:colOff>
      <xdr:row>8</xdr:row>
      <xdr:rowOff>76200</xdr:rowOff>
    </xdr:to>
    <xdr:pic>
      <xdr:nvPicPr>
        <xdr:cNvPr id="105" name="Graphic 104" descr="Downward trend">
          <a:extLst>
            <a:ext uri="{FF2B5EF4-FFF2-40B4-BE49-F238E27FC236}">
              <a16:creationId xmlns:a16="http://schemas.microsoft.com/office/drawing/2014/main" id="{29C72B6A-3D3A-4CD6-987B-8A5D67445E1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9534525" y="1047749"/>
          <a:ext cx="428625" cy="323851"/>
        </a:xfrm>
        <a:prstGeom prst="rect">
          <a:avLst/>
        </a:prstGeom>
      </xdr:spPr>
    </xdr:pic>
    <xdr:clientData/>
  </xdr:twoCellAnchor>
  <xdr:twoCellAnchor editAs="oneCell">
    <xdr:from>
      <xdr:col>16</xdr:col>
      <xdr:colOff>419100</xdr:colOff>
      <xdr:row>7</xdr:row>
      <xdr:rowOff>85724</xdr:rowOff>
    </xdr:from>
    <xdr:to>
      <xdr:col>17</xdr:col>
      <xdr:colOff>238125</xdr:colOff>
      <xdr:row>9</xdr:row>
      <xdr:rowOff>85725</xdr:rowOff>
    </xdr:to>
    <xdr:pic>
      <xdr:nvPicPr>
        <xdr:cNvPr id="107" name="Graphic 106" descr="Downward trend">
          <a:extLst>
            <a:ext uri="{FF2B5EF4-FFF2-40B4-BE49-F238E27FC236}">
              <a16:creationId xmlns:a16="http://schemas.microsoft.com/office/drawing/2014/main" id="{84876D98-36DF-4FEA-AB83-C450A92753C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172700" y="1219199"/>
          <a:ext cx="428625" cy="323851"/>
        </a:xfrm>
        <a:prstGeom prst="rect">
          <a:avLst/>
        </a:prstGeom>
      </xdr:spPr>
    </xdr:pic>
    <xdr:clientData/>
  </xdr:twoCellAnchor>
  <xdr:twoCellAnchor editAs="oneCell">
    <xdr:from>
      <xdr:col>14</xdr:col>
      <xdr:colOff>485775</xdr:colOff>
      <xdr:row>11</xdr:row>
      <xdr:rowOff>38100</xdr:rowOff>
    </xdr:from>
    <xdr:to>
      <xdr:col>15</xdr:col>
      <xdr:colOff>209550</xdr:colOff>
      <xdr:row>13</xdr:row>
      <xdr:rowOff>47625</xdr:rowOff>
    </xdr:to>
    <xdr:pic>
      <xdr:nvPicPr>
        <xdr:cNvPr id="9" name="Graphic 8" descr="Right pointing backhand index">
          <a:extLst>
            <a:ext uri="{FF2B5EF4-FFF2-40B4-BE49-F238E27FC236}">
              <a16:creationId xmlns:a16="http://schemas.microsoft.com/office/drawing/2014/main" id="{5A86B203-1365-44EC-83A7-F85696613792}"/>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9020175" y="1819275"/>
          <a:ext cx="333375" cy="333375"/>
        </a:xfrm>
        <a:prstGeom prst="rect">
          <a:avLst/>
        </a:prstGeom>
      </xdr:spPr>
    </xdr:pic>
    <xdr:clientData/>
  </xdr:twoCellAnchor>
  <xdr:twoCellAnchor editAs="oneCell">
    <xdr:from>
      <xdr:col>2</xdr:col>
      <xdr:colOff>314325</xdr:colOff>
      <xdr:row>18</xdr:row>
      <xdr:rowOff>57150</xdr:rowOff>
    </xdr:from>
    <xdr:to>
      <xdr:col>3</xdr:col>
      <xdr:colOff>85725</xdr:colOff>
      <xdr:row>20</xdr:row>
      <xdr:rowOff>114300</xdr:rowOff>
    </xdr:to>
    <xdr:pic>
      <xdr:nvPicPr>
        <xdr:cNvPr id="65" name="Graphic 64" descr="Upward trend">
          <a:extLst>
            <a:ext uri="{FF2B5EF4-FFF2-40B4-BE49-F238E27FC236}">
              <a16:creationId xmlns:a16="http://schemas.microsoft.com/office/drawing/2014/main" id="{F5D9F64C-100D-45E4-86C9-8DC3C0FFAC0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533525" y="2971800"/>
          <a:ext cx="381000" cy="381000"/>
        </a:xfrm>
        <a:prstGeom prst="rect">
          <a:avLst/>
        </a:prstGeom>
      </xdr:spPr>
    </xdr:pic>
    <xdr:clientData/>
  </xdr:twoCellAnchor>
  <xdr:twoCellAnchor>
    <xdr:from>
      <xdr:col>4</xdr:col>
      <xdr:colOff>352427</xdr:colOff>
      <xdr:row>18</xdr:row>
      <xdr:rowOff>0</xdr:rowOff>
    </xdr:from>
    <xdr:to>
      <xdr:col>8</xdr:col>
      <xdr:colOff>95251</xdr:colOff>
      <xdr:row>22</xdr:row>
      <xdr:rowOff>38099</xdr:rowOff>
    </xdr:to>
    <xdr:grpSp>
      <xdr:nvGrpSpPr>
        <xdr:cNvPr id="97" name="Group 96">
          <a:extLst>
            <a:ext uri="{FF2B5EF4-FFF2-40B4-BE49-F238E27FC236}">
              <a16:creationId xmlns:a16="http://schemas.microsoft.com/office/drawing/2014/main" id="{F56BAECE-2E59-4633-9335-85A0E9125284}"/>
            </a:ext>
          </a:extLst>
        </xdr:cNvPr>
        <xdr:cNvGrpSpPr/>
      </xdr:nvGrpSpPr>
      <xdr:grpSpPr>
        <a:xfrm>
          <a:off x="2790827" y="2914650"/>
          <a:ext cx="2181224" cy="685799"/>
          <a:chOff x="2581275" y="1042799"/>
          <a:chExt cx="1424989" cy="805053"/>
        </a:xfrm>
      </xdr:grpSpPr>
      <xdr:pic>
        <xdr:nvPicPr>
          <xdr:cNvPr id="115" name="Graphic 114" descr="Downward trend">
            <a:extLst>
              <a:ext uri="{FF2B5EF4-FFF2-40B4-BE49-F238E27FC236}">
                <a16:creationId xmlns:a16="http://schemas.microsoft.com/office/drawing/2014/main" id="{28B4929E-DCBA-4F81-9625-2A2F2B7FB18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581275" y="1077806"/>
            <a:ext cx="1019175" cy="770046"/>
          </a:xfrm>
          <a:prstGeom prst="rect">
            <a:avLst/>
          </a:prstGeom>
        </xdr:spPr>
      </xdr:pic>
      <xdr:sp macro="" textlink="">
        <xdr:nvSpPr>
          <xdr:cNvPr id="96" name="TextBox 95">
            <a:extLst>
              <a:ext uri="{FF2B5EF4-FFF2-40B4-BE49-F238E27FC236}">
                <a16:creationId xmlns:a16="http://schemas.microsoft.com/office/drawing/2014/main" id="{438E199B-D4B7-4403-8274-2A957873D6E2}"/>
              </a:ext>
            </a:extLst>
          </xdr:cNvPr>
          <xdr:cNvSpPr txBox="1"/>
        </xdr:nvSpPr>
        <xdr:spPr>
          <a:xfrm>
            <a:off x="2838450" y="1466850"/>
            <a:ext cx="4651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sales</a:t>
            </a:r>
          </a:p>
        </xdr:txBody>
      </xdr:sp>
      <xdr:sp macro="" textlink="">
        <xdr:nvSpPr>
          <xdr:cNvPr id="117" name="TextBox 116">
            <a:extLst>
              <a:ext uri="{FF2B5EF4-FFF2-40B4-BE49-F238E27FC236}">
                <a16:creationId xmlns:a16="http://schemas.microsoft.com/office/drawing/2014/main" id="{87C49EAF-204F-4C33-9F70-55DEDC6B2599}"/>
              </a:ext>
            </a:extLst>
          </xdr:cNvPr>
          <xdr:cNvSpPr txBox="1"/>
        </xdr:nvSpPr>
        <xdr:spPr>
          <a:xfrm>
            <a:off x="2770145" y="1042799"/>
            <a:ext cx="5679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Sep'13</a:t>
            </a:r>
          </a:p>
        </xdr:txBody>
      </xdr:sp>
      <xdr:sp macro="" textlink="">
        <xdr:nvSpPr>
          <xdr:cNvPr id="118" name="TextBox 117">
            <a:extLst>
              <a:ext uri="{FF2B5EF4-FFF2-40B4-BE49-F238E27FC236}">
                <a16:creationId xmlns:a16="http://schemas.microsoft.com/office/drawing/2014/main" id="{D84CD3CC-2FF4-41C9-986E-E7ADDE0B01CA}"/>
              </a:ext>
            </a:extLst>
          </xdr:cNvPr>
          <xdr:cNvSpPr txBox="1"/>
        </xdr:nvSpPr>
        <xdr:spPr>
          <a:xfrm>
            <a:off x="3442520" y="1439113"/>
            <a:ext cx="5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Apr'14</a:t>
            </a:r>
          </a:p>
        </xdr:txBody>
      </xdr:sp>
    </xdr:grpSp>
    <xdr:clientData/>
  </xdr:twoCellAnchor>
  <xdr:twoCellAnchor editAs="oneCell">
    <xdr:from>
      <xdr:col>5</xdr:col>
      <xdr:colOff>590551</xdr:colOff>
      <xdr:row>22</xdr:row>
      <xdr:rowOff>47624</xdr:rowOff>
    </xdr:from>
    <xdr:to>
      <xdr:col>6</xdr:col>
      <xdr:colOff>409576</xdr:colOff>
      <xdr:row>24</xdr:row>
      <xdr:rowOff>47625</xdr:rowOff>
    </xdr:to>
    <xdr:pic>
      <xdr:nvPicPr>
        <xdr:cNvPr id="123" name="Graphic 122" descr="Downward trend">
          <a:extLst>
            <a:ext uri="{FF2B5EF4-FFF2-40B4-BE49-F238E27FC236}">
              <a16:creationId xmlns:a16="http://schemas.microsoft.com/office/drawing/2014/main" id="{F886B6DF-913B-4E7E-B0B1-8B39293587F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3638551" y="3609974"/>
          <a:ext cx="428625" cy="323851"/>
        </a:xfrm>
        <a:prstGeom prst="rect">
          <a:avLst/>
        </a:prstGeom>
      </xdr:spPr>
    </xdr:pic>
    <xdr:clientData/>
  </xdr:twoCellAnchor>
  <xdr:twoCellAnchor editAs="oneCell">
    <xdr:from>
      <xdr:col>10</xdr:col>
      <xdr:colOff>495300</xdr:colOff>
      <xdr:row>7</xdr:row>
      <xdr:rowOff>133350</xdr:rowOff>
    </xdr:from>
    <xdr:to>
      <xdr:col>11</xdr:col>
      <xdr:colOff>266700</xdr:colOff>
      <xdr:row>10</xdr:row>
      <xdr:rowOff>28575</xdr:rowOff>
    </xdr:to>
    <xdr:pic>
      <xdr:nvPicPr>
        <xdr:cNvPr id="125" name="Graphic 124" descr="Upward trend">
          <a:extLst>
            <a:ext uri="{FF2B5EF4-FFF2-40B4-BE49-F238E27FC236}">
              <a16:creationId xmlns:a16="http://schemas.microsoft.com/office/drawing/2014/main" id="{B81E0068-59B3-455A-8A5A-EB0522F5167D}"/>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6591300" y="1266825"/>
          <a:ext cx="381000" cy="381000"/>
        </a:xfrm>
        <a:prstGeom prst="rect">
          <a:avLst/>
        </a:prstGeom>
      </xdr:spPr>
    </xdr:pic>
    <xdr:clientData/>
  </xdr:twoCellAnchor>
  <xdr:twoCellAnchor editAs="oneCell">
    <xdr:from>
      <xdr:col>10</xdr:col>
      <xdr:colOff>19050</xdr:colOff>
      <xdr:row>18</xdr:row>
      <xdr:rowOff>57151</xdr:rowOff>
    </xdr:from>
    <xdr:to>
      <xdr:col>10</xdr:col>
      <xdr:colOff>400050</xdr:colOff>
      <xdr:row>20</xdr:row>
      <xdr:rowOff>114301</xdr:rowOff>
    </xdr:to>
    <xdr:pic>
      <xdr:nvPicPr>
        <xdr:cNvPr id="127" name="Graphic 126" descr="Upward trend">
          <a:extLst>
            <a:ext uri="{FF2B5EF4-FFF2-40B4-BE49-F238E27FC236}">
              <a16:creationId xmlns:a16="http://schemas.microsoft.com/office/drawing/2014/main" id="{ED33279C-9D18-4C31-A056-7C602F30DF1D}"/>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6115050" y="2971801"/>
          <a:ext cx="381000" cy="381000"/>
        </a:xfrm>
        <a:prstGeom prst="rect">
          <a:avLst/>
        </a:prstGeom>
      </xdr:spPr>
    </xdr:pic>
    <xdr:clientData/>
  </xdr:twoCellAnchor>
  <xdr:oneCellAnchor>
    <xdr:from>
      <xdr:col>2</xdr:col>
      <xdr:colOff>428625</xdr:colOff>
      <xdr:row>27</xdr:row>
      <xdr:rowOff>9525</xdr:rowOff>
    </xdr:from>
    <xdr:ext cx="8782050" cy="361950"/>
    <xdr:sp macro="" textlink="">
      <xdr:nvSpPr>
        <xdr:cNvPr id="108" name="TextBox 107">
          <a:extLst>
            <a:ext uri="{FF2B5EF4-FFF2-40B4-BE49-F238E27FC236}">
              <a16:creationId xmlns:a16="http://schemas.microsoft.com/office/drawing/2014/main" id="{06C1CA00-ED02-4432-9A57-B03050224F2D}"/>
            </a:ext>
          </a:extLst>
        </xdr:cNvPr>
        <xdr:cNvSpPr txBox="1"/>
      </xdr:nvSpPr>
      <xdr:spPr>
        <a:xfrm>
          <a:off x="1647825" y="4381500"/>
          <a:ext cx="8782050" cy="361950"/>
        </a:xfrm>
        <a:prstGeom prst="rect">
          <a:avLst/>
        </a:prstGeom>
        <a:noFill/>
        <a:ln>
          <a:noFill/>
        </a:ln>
        <a:effectLst/>
      </xdr:spPr>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900" b="0" i="0" u="none" strike="noStrike" kern="0" cap="none" spc="0" normalizeH="0" baseline="0">
              <a:ln>
                <a:noFill/>
              </a:ln>
              <a:solidFill>
                <a:schemeClr val="bg1"/>
              </a:solidFill>
              <a:effectLst/>
              <a:uLnTx/>
              <a:uFillTx/>
              <a:latin typeface="Arial"/>
              <a:ea typeface="+mn-ea"/>
              <a:cs typeface="Arial"/>
            </a:rPr>
            <a:t>HS</a:t>
          </a:r>
          <a:r>
            <a:rPr kumimoji="0" lang="en-IN" sz="900" b="0" i="0" u="none" strike="noStrike" kern="0" cap="none" spc="0" normalizeH="0" baseline="0">
              <a:ln>
                <a:noFill/>
              </a:ln>
              <a:solidFill>
                <a:schemeClr val="bg2">
                  <a:lumMod val="50000"/>
                </a:schemeClr>
              </a:solidFill>
              <a:effectLst/>
              <a:uLnTx/>
              <a:uFillTx/>
              <a:latin typeface="Arial"/>
              <a:ea typeface="+mn-ea"/>
              <a:cs typeface="Arial"/>
            </a:rPr>
            <a:t>-Highest Sales </a:t>
          </a:r>
          <a:r>
            <a:rPr kumimoji="0" lang="en-IN" sz="900" b="0" i="0" u="none" strike="noStrike" kern="0" cap="none" spc="0" normalizeH="0" baseline="0">
              <a:ln>
                <a:noFill/>
              </a:ln>
              <a:solidFill>
                <a:schemeClr val="bg1"/>
              </a:solidFill>
              <a:effectLst/>
              <a:uLnTx/>
              <a:uFillTx/>
              <a:latin typeface="Arial"/>
              <a:ea typeface="+mn-ea"/>
              <a:cs typeface="Arial"/>
            </a:rPr>
            <a:t>,LS</a:t>
          </a:r>
          <a:r>
            <a:rPr kumimoji="0" lang="en-IN" sz="900" b="0" i="0" u="none" strike="noStrike" kern="0" cap="none" spc="0" normalizeH="0" baseline="0">
              <a:ln>
                <a:noFill/>
              </a:ln>
              <a:solidFill>
                <a:schemeClr val="bg2">
                  <a:lumMod val="50000"/>
                </a:schemeClr>
              </a:solidFill>
              <a:effectLst/>
              <a:uLnTx/>
              <a:uFillTx/>
              <a:latin typeface="Arial"/>
              <a:ea typeface="+mn-ea"/>
              <a:cs typeface="Arial"/>
            </a:rPr>
            <a:t>-Least Sales</a:t>
          </a:r>
          <a:r>
            <a:rPr kumimoji="0" lang="en-IN" sz="900" b="0" i="0" u="none" strike="noStrike" kern="0" cap="none" spc="0" normalizeH="0" baseline="0">
              <a:ln>
                <a:noFill/>
              </a:ln>
              <a:solidFill>
                <a:schemeClr val="bg1"/>
              </a:solidFill>
              <a:effectLst/>
              <a:uLnTx/>
              <a:uFillTx/>
              <a:latin typeface="Arial"/>
              <a:ea typeface="+mn-ea"/>
              <a:cs typeface="Arial"/>
            </a:rPr>
            <a:t>,HP</a:t>
          </a:r>
          <a:r>
            <a:rPr kumimoji="0" lang="en-IN" sz="900" b="0" i="0" u="none" strike="noStrike" kern="0" cap="none" spc="0" normalizeH="0" baseline="0">
              <a:ln>
                <a:noFill/>
              </a:ln>
              <a:solidFill>
                <a:schemeClr val="bg2">
                  <a:lumMod val="50000"/>
                </a:schemeClr>
              </a:solidFill>
              <a:effectLst/>
              <a:uLnTx/>
              <a:uFillTx/>
              <a:latin typeface="Arial"/>
              <a:ea typeface="+mn-ea"/>
              <a:cs typeface="Arial"/>
            </a:rPr>
            <a:t>-</a:t>
          </a:r>
          <a:r>
            <a:rPr kumimoji="0" lang="en-IN" sz="900" b="0" i="0" u="none" strike="noStrike" kern="0" cap="none" spc="0" normalizeH="0" baseline="0">
              <a:ln>
                <a:noFill/>
              </a:ln>
              <a:solidFill>
                <a:schemeClr val="bg1"/>
              </a:solidFill>
              <a:effectLst/>
              <a:uLnTx/>
              <a:uFillTx/>
              <a:latin typeface="Arial"/>
              <a:ea typeface="+mn-ea"/>
              <a:cs typeface="Arial"/>
            </a:rPr>
            <a:t> </a:t>
          </a:r>
          <a:r>
            <a:rPr kumimoji="0" lang="en-IN" sz="900" b="0" i="0" u="none" strike="noStrike" kern="0" cap="none" spc="0" normalizeH="0" baseline="0">
              <a:ln>
                <a:noFill/>
              </a:ln>
              <a:solidFill>
                <a:schemeClr val="bg2">
                  <a:lumMod val="50000"/>
                </a:schemeClr>
              </a:solidFill>
              <a:effectLst/>
              <a:uLnTx/>
              <a:uFillTx/>
              <a:latin typeface="Arial"/>
              <a:ea typeface="+mn-ea"/>
              <a:cs typeface="Arial"/>
            </a:rPr>
            <a:t>Highest Profit</a:t>
          </a:r>
          <a:r>
            <a:rPr kumimoji="0" lang="en-IN" sz="900" b="0" i="0" u="none" strike="noStrike" kern="0" cap="none" spc="0" normalizeH="0" baseline="0">
              <a:ln>
                <a:noFill/>
              </a:ln>
              <a:solidFill>
                <a:schemeClr val="bg1"/>
              </a:solidFill>
              <a:effectLst/>
              <a:uLnTx/>
              <a:uFillTx/>
              <a:latin typeface="Arial"/>
              <a:ea typeface="+mn-ea"/>
              <a:cs typeface="Arial"/>
            </a:rPr>
            <a:t>,LP</a:t>
          </a:r>
          <a:r>
            <a:rPr kumimoji="0" lang="en-IN" sz="900" b="0" i="0" u="none" strike="noStrike" kern="0" cap="none" spc="0" normalizeH="0" baseline="0">
              <a:ln>
                <a:noFill/>
              </a:ln>
              <a:solidFill>
                <a:schemeClr val="bg2">
                  <a:lumMod val="50000"/>
                </a:schemeClr>
              </a:solidFill>
              <a:effectLst/>
              <a:uLnTx/>
              <a:uFillTx/>
              <a:latin typeface="Arial"/>
              <a:ea typeface="+mn-ea"/>
              <a:cs typeface="Arial"/>
            </a:rPr>
            <a:t>-Least Profit</a:t>
          </a:r>
          <a:r>
            <a:rPr kumimoji="0" lang="en-IN" sz="900" b="0" i="0" u="none" strike="noStrike" kern="0" cap="none" spc="0" normalizeH="0" baseline="0">
              <a:ln>
                <a:noFill/>
              </a:ln>
              <a:solidFill>
                <a:schemeClr val="bg1"/>
              </a:solidFill>
              <a:effectLst/>
              <a:uLnTx/>
              <a:uFillTx/>
              <a:latin typeface="Arial"/>
              <a:ea typeface="+mn-ea"/>
              <a:cs typeface="Arial"/>
            </a:rPr>
            <a:t>, SBS-</a:t>
          </a:r>
          <a:r>
            <a:rPr kumimoji="0" lang="en-IN" sz="900" b="0" i="0" u="none" strike="noStrike" kern="0" cap="none" spc="0" normalizeH="0" baseline="0">
              <a:ln>
                <a:noFill/>
              </a:ln>
              <a:solidFill>
                <a:schemeClr val="bg2">
                  <a:lumMod val="50000"/>
                </a:schemeClr>
              </a:solidFill>
              <a:effectLst/>
              <a:uLnTx/>
              <a:uFillTx/>
              <a:latin typeface="Arial"/>
              <a:ea typeface="+mn-ea"/>
              <a:cs typeface="Arial"/>
            </a:rPr>
            <a:t>Small Business</a:t>
          </a:r>
          <a:r>
            <a:rPr kumimoji="0" lang="en-IN" sz="900" b="0" i="0" u="none" strike="noStrike" kern="0" cap="none" spc="0" normalizeH="0" baseline="0">
              <a:ln>
                <a:noFill/>
              </a:ln>
              <a:solidFill>
                <a:schemeClr val="bg1"/>
              </a:solidFill>
              <a:effectLst/>
              <a:uLnTx/>
              <a:uFillTx/>
              <a:latin typeface="Arial"/>
              <a:ea typeface="+mn-ea"/>
              <a:cs typeface="Arial"/>
            </a:rPr>
            <a:t>,ES</a:t>
          </a:r>
          <a:r>
            <a:rPr kumimoji="0" lang="en-IN" sz="900" b="0" i="0" u="none" strike="noStrike" kern="0" cap="none" spc="0" normalizeH="0" baseline="0">
              <a:ln>
                <a:noFill/>
              </a:ln>
              <a:solidFill>
                <a:schemeClr val="bg2">
                  <a:lumMod val="50000"/>
                </a:schemeClr>
              </a:solidFill>
              <a:effectLst/>
              <a:uLnTx/>
              <a:uFillTx/>
              <a:latin typeface="Arial"/>
              <a:ea typeface="+mn-ea"/>
              <a:cs typeface="Arial"/>
            </a:rPr>
            <a:t>-Enterprise Seg</a:t>
          </a:r>
          <a:r>
            <a:rPr kumimoji="0" lang="en-IN" sz="900" b="0" i="0" u="none" strike="noStrike" kern="0" cap="none" spc="0" normalizeH="0" baseline="0">
              <a:ln>
                <a:noFill/>
              </a:ln>
              <a:solidFill>
                <a:schemeClr val="bg1"/>
              </a:solidFill>
              <a:effectLst/>
              <a:uLnTx/>
              <a:uFillTx/>
              <a:latin typeface="Arial"/>
              <a:ea typeface="+mn-ea"/>
              <a:cs typeface="Arial"/>
            </a:rPr>
            <a:t>,GS</a:t>
          </a:r>
          <a:r>
            <a:rPr kumimoji="0" lang="en-IN" sz="900" b="0" i="0" u="none" strike="noStrike" kern="0" cap="none" spc="0" normalizeH="0" baseline="0">
              <a:ln>
                <a:noFill/>
              </a:ln>
              <a:solidFill>
                <a:schemeClr val="bg2">
                  <a:lumMod val="50000"/>
                </a:schemeClr>
              </a:solidFill>
              <a:effectLst/>
              <a:uLnTx/>
              <a:uFillTx/>
              <a:latin typeface="Arial"/>
              <a:ea typeface="+mn-ea"/>
              <a:cs typeface="Arial"/>
            </a:rPr>
            <a:t>-Govt.Seg,</a:t>
          </a:r>
          <a:r>
            <a:rPr kumimoji="0" lang="en-IN" sz="900" b="0" i="0" u="none" strike="noStrike" kern="0" cap="none" spc="0" normalizeH="0" baseline="0">
              <a:ln>
                <a:noFill/>
              </a:ln>
              <a:solidFill>
                <a:schemeClr val="bg1"/>
              </a:solidFill>
              <a:effectLst/>
              <a:uLnTx/>
              <a:uFillTx/>
              <a:latin typeface="Arial"/>
              <a:ea typeface="+mn-ea"/>
              <a:cs typeface="Arial"/>
            </a:rPr>
            <a:t>HDB</a:t>
          </a:r>
          <a:r>
            <a:rPr kumimoji="0" lang="en-IN" sz="900" b="0" i="0" u="none" strike="noStrike" kern="0" cap="none" spc="0" normalizeH="0" baseline="0">
              <a:ln>
                <a:noFill/>
              </a:ln>
              <a:solidFill>
                <a:schemeClr val="bg2">
                  <a:lumMod val="50000"/>
                </a:schemeClr>
              </a:solidFill>
              <a:effectLst/>
              <a:uLnTx/>
              <a:uFillTx/>
              <a:latin typeface="Arial"/>
              <a:ea typeface="+mn-ea"/>
              <a:cs typeface="Arial"/>
            </a:rPr>
            <a:t>-High Dead Band,</a:t>
          </a:r>
          <a:r>
            <a:rPr kumimoji="0" lang="en-IN" sz="900" b="0" i="0" u="none" strike="noStrike" kern="0" cap="none" spc="0" normalizeH="0" baseline="0">
              <a:ln>
                <a:noFill/>
              </a:ln>
              <a:solidFill>
                <a:schemeClr val="bg1"/>
              </a:solidFill>
              <a:effectLst/>
              <a:uLnTx/>
              <a:uFillTx/>
              <a:latin typeface="Arial"/>
              <a:ea typeface="+mn-ea"/>
              <a:cs typeface="Arial"/>
            </a:rPr>
            <a:t>MDB</a:t>
          </a:r>
          <a:r>
            <a:rPr kumimoji="0" lang="en-IN" sz="900" b="0" i="0" u="none" strike="noStrike" kern="0" cap="none" spc="0" normalizeH="0" baseline="0">
              <a:ln>
                <a:noFill/>
              </a:ln>
              <a:solidFill>
                <a:schemeClr val="bg2">
                  <a:lumMod val="50000"/>
                </a:schemeClr>
              </a:solidFill>
              <a:effectLst/>
              <a:uLnTx/>
              <a:uFillTx/>
              <a:latin typeface="Arial"/>
              <a:ea typeface="+mn-ea"/>
              <a:cs typeface="Arial"/>
            </a:rPr>
            <a:t>-Medium Dead Band</a:t>
          </a:r>
        </a:p>
      </xdr:txBody>
    </xdr:sp>
    <xdr:clientData/>
  </xdr:oneCellAnchor>
  <xdr:twoCellAnchor editAs="oneCell">
    <xdr:from>
      <xdr:col>11</xdr:col>
      <xdr:colOff>485775</xdr:colOff>
      <xdr:row>23</xdr:row>
      <xdr:rowOff>133350</xdr:rowOff>
    </xdr:from>
    <xdr:to>
      <xdr:col>12</xdr:col>
      <xdr:colOff>209550</xdr:colOff>
      <xdr:row>25</xdr:row>
      <xdr:rowOff>142875</xdr:rowOff>
    </xdr:to>
    <xdr:pic>
      <xdr:nvPicPr>
        <xdr:cNvPr id="128" name="Graphic 127" descr="Right pointing backhand index">
          <a:extLst>
            <a:ext uri="{FF2B5EF4-FFF2-40B4-BE49-F238E27FC236}">
              <a16:creationId xmlns:a16="http://schemas.microsoft.com/office/drawing/2014/main" id="{BD25D563-A95D-4E23-93C8-0CD3CA41202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7191375" y="3857625"/>
          <a:ext cx="333375" cy="333375"/>
        </a:xfrm>
        <a:prstGeom prst="rect">
          <a:avLst/>
        </a:prstGeom>
      </xdr:spPr>
    </xdr:pic>
    <xdr:clientData/>
  </xdr:twoCellAnchor>
  <xdr:twoCellAnchor editAs="oneCell">
    <xdr:from>
      <xdr:col>14</xdr:col>
      <xdr:colOff>85725</xdr:colOff>
      <xdr:row>18</xdr:row>
      <xdr:rowOff>142875</xdr:rowOff>
    </xdr:from>
    <xdr:to>
      <xdr:col>14</xdr:col>
      <xdr:colOff>514350</xdr:colOff>
      <xdr:row>20</xdr:row>
      <xdr:rowOff>142876</xdr:rowOff>
    </xdr:to>
    <xdr:pic>
      <xdr:nvPicPr>
        <xdr:cNvPr id="129" name="Graphic 128" descr="Downward trend">
          <a:extLst>
            <a:ext uri="{FF2B5EF4-FFF2-40B4-BE49-F238E27FC236}">
              <a16:creationId xmlns:a16="http://schemas.microsoft.com/office/drawing/2014/main" id="{6B8D6E1B-70F1-46F9-B006-604D7FF35DE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8620125" y="3057525"/>
          <a:ext cx="428625" cy="323851"/>
        </a:xfrm>
        <a:prstGeom prst="rect">
          <a:avLst/>
        </a:prstGeom>
      </xdr:spPr>
    </xdr:pic>
    <xdr:clientData/>
  </xdr:twoCellAnchor>
  <xdr:twoCellAnchor editAs="oneCell">
    <xdr:from>
      <xdr:col>13</xdr:col>
      <xdr:colOff>342900</xdr:colOff>
      <xdr:row>20</xdr:row>
      <xdr:rowOff>38100</xdr:rowOff>
    </xdr:from>
    <xdr:to>
      <xdr:col>14</xdr:col>
      <xdr:colOff>114300</xdr:colOff>
      <xdr:row>22</xdr:row>
      <xdr:rowOff>95250</xdr:rowOff>
    </xdr:to>
    <xdr:pic>
      <xdr:nvPicPr>
        <xdr:cNvPr id="130" name="Graphic 129" descr="Upward trend">
          <a:extLst>
            <a:ext uri="{FF2B5EF4-FFF2-40B4-BE49-F238E27FC236}">
              <a16:creationId xmlns:a16="http://schemas.microsoft.com/office/drawing/2014/main" id="{1579DBC4-5A6D-4D21-88F3-5A9BEC5228EE}"/>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8267700" y="3276600"/>
          <a:ext cx="381000" cy="381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85727</xdr:colOff>
      <xdr:row>0</xdr:row>
      <xdr:rowOff>0</xdr:rowOff>
    </xdr:from>
    <xdr:to>
      <xdr:col>8</xdr:col>
      <xdr:colOff>952500</xdr:colOff>
      <xdr:row>11</xdr:row>
      <xdr:rowOff>57150</xdr:rowOff>
    </xdr:to>
    <xdr:graphicFrame macro="">
      <xdr:nvGraphicFramePr>
        <xdr:cNvPr id="2" name="Chart 1">
          <a:extLst>
            <a:ext uri="{FF2B5EF4-FFF2-40B4-BE49-F238E27FC236}">
              <a16:creationId xmlns:a16="http://schemas.microsoft.com/office/drawing/2014/main" id="{4BF224C6-4F61-4F02-B50D-F0FDEF68D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381529</xdr:colOff>
      <xdr:row>14</xdr:row>
      <xdr:rowOff>22489</xdr:rowOff>
    </xdr:from>
    <xdr:to>
      <xdr:col>10</xdr:col>
      <xdr:colOff>91280</xdr:colOff>
      <xdr:row>25</xdr:row>
      <xdr:rowOff>45507</xdr:rowOff>
    </xdr:to>
    <xdr:graphicFrame macro="">
      <xdr:nvGraphicFramePr>
        <xdr:cNvPr id="3" name="Chart 2">
          <a:extLst>
            <a:ext uri="{FF2B5EF4-FFF2-40B4-BE49-F238E27FC236}">
              <a16:creationId xmlns:a16="http://schemas.microsoft.com/office/drawing/2014/main" id="{C03D742A-1BB2-40E9-9273-03FC92B9B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1190625</xdr:colOff>
      <xdr:row>29</xdr:row>
      <xdr:rowOff>107155</xdr:rowOff>
    </xdr:from>
    <xdr:to>
      <xdr:col>9</xdr:col>
      <xdr:colOff>280987</xdr:colOff>
      <xdr:row>38</xdr:row>
      <xdr:rowOff>11904</xdr:rowOff>
    </xdr:to>
    <xdr:graphicFrame macro="">
      <xdr:nvGraphicFramePr>
        <xdr:cNvPr id="4" name="Chart 3">
          <a:extLst>
            <a:ext uri="{FF2B5EF4-FFF2-40B4-BE49-F238E27FC236}">
              <a16:creationId xmlns:a16="http://schemas.microsoft.com/office/drawing/2014/main" id="{96369398-0DB1-4963-8FF9-4C7B2DAA1D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133350</xdr:colOff>
      <xdr:row>48</xdr:row>
      <xdr:rowOff>133350</xdr:rowOff>
    </xdr:from>
    <xdr:to>
      <xdr:col>10</xdr:col>
      <xdr:colOff>28574</xdr:colOff>
      <xdr:row>64</xdr:row>
      <xdr:rowOff>85725</xdr:rowOff>
    </xdr:to>
    <xdr:graphicFrame macro="">
      <xdr:nvGraphicFramePr>
        <xdr:cNvPr id="5" name="Chart 4">
          <a:extLst>
            <a:ext uri="{FF2B5EF4-FFF2-40B4-BE49-F238E27FC236}">
              <a16:creationId xmlns:a16="http://schemas.microsoft.com/office/drawing/2014/main" id="{E7CBBA15-7DAF-4631-9248-A104B2ED8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733425</xdr:colOff>
      <xdr:row>92</xdr:row>
      <xdr:rowOff>19051</xdr:rowOff>
    </xdr:from>
    <xdr:to>
      <xdr:col>22</xdr:col>
      <xdr:colOff>4762</xdr:colOff>
      <xdr:row>101</xdr:row>
      <xdr:rowOff>11907</xdr:rowOff>
    </xdr:to>
    <xdr:graphicFrame macro="">
      <xdr:nvGraphicFramePr>
        <xdr:cNvPr id="6" name="Chart 5">
          <a:extLst>
            <a:ext uri="{FF2B5EF4-FFF2-40B4-BE49-F238E27FC236}">
              <a16:creationId xmlns:a16="http://schemas.microsoft.com/office/drawing/2014/main" id="{46156E6B-8C86-470D-85F0-AF90EC92E8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104775</xdr:colOff>
      <xdr:row>107</xdr:row>
      <xdr:rowOff>9525</xdr:rowOff>
    </xdr:from>
    <xdr:to>
      <xdr:col>21</xdr:col>
      <xdr:colOff>690563</xdr:colOff>
      <xdr:row>115</xdr:row>
      <xdr:rowOff>83344</xdr:rowOff>
    </xdr:to>
    <xdr:graphicFrame macro="">
      <xdr:nvGraphicFramePr>
        <xdr:cNvPr id="9" name="Chart 8">
          <a:extLst>
            <a:ext uri="{FF2B5EF4-FFF2-40B4-BE49-F238E27FC236}">
              <a16:creationId xmlns:a16="http://schemas.microsoft.com/office/drawing/2014/main" id="{7898BAED-7A84-4CA7-8DDB-598BDF49EA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642938</xdr:colOff>
      <xdr:row>120</xdr:row>
      <xdr:rowOff>35719</xdr:rowOff>
    </xdr:from>
    <xdr:to>
      <xdr:col>20</xdr:col>
      <xdr:colOff>690562</xdr:colOff>
      <xdr:row>127</xdr:row>
      <xdr:rowOff>142876</xdr:rowOff>
    </xdr:to>
    <xdr:graphicFrame macro="">
      <xdr:nvGraphicFramePr>
        <xdr:cNvPr id="10" name="Chart 9">
          <a:extLst>
            <a:ext uri="{FF2B5EF4-FFF2-40B4-BE49-F238E27FC236}">
              <a16:creationId xmlns:a16="http://schemas.microsoft.com/office/drawing/2014/main" id="{1DA65064-9890-481D-9DE8-9866929985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104777</xdr:colOff>
      <xdr:row>136</xdr:row>
      <xdr:rowOff>57151</xdr:rowOff>
    </xdr:from>
    <xdr:to>
      <xdr:col>22</xdr:col>
      <xdr:colOff>190501</xdr:colOff>
      <xdr:row>147</xdr:row>
      <xdr:rowOff>71438</xdr:rowOff>
    </xdr:to>
    <xdr:graphicFrame macro="">
      <xdr:nvGraphicFramePr>
        <xdr:cNvPr id="11" name="Chart 10">
          <a:extLst>
            <a:ext uri="{FF2B5EF4-FFF2-40B4-BE49-F238E27FC236}">
              <a16:creationId xmlns:a16="http://schemas.microsoft.com/office/drawing/2014/main" id="{E0B1A3DA-2594-4D6B-951A-B29249899F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333375</xdr:colOff>
      <xdr:row>61</xdr:row>
      <xdr:rowOff>9525</xdr:rowOff>
    </xdr:from>
    <xdr:to>
      <xdr:col>13</xdr:col>
      <xdr:colOff>133350</xdr:colOff>
      <xdr:row>73</xdr:row>
      <xdr:rowOff>95251</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E6A975CD-79A6-4B97-A708-E743604DB4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305925" y="10086975"/>
              <a:ext cx="2324100" cy="20288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619124</xdr:colOff>
      <xdr:row>157</xdr:row>
      <xdr:rowOff>59531</xdr:rowOff>
    </xdr:from>
    <xdr:to>
      <xdr:col>20</xdr:col>
      <xdr:colOff>750094</xdr:colOff>
      <xdr:row>170</xdr:row>
      <xdr:rowOff>42862</xdr:rowOff>
    </xdr:to>
    <xdr:graphicFrame macro="">
      <xdr:nvGraphicFramePr>
        <xdr:cNvPr id="7" name="Chart 6">
          <a:extLst>
            <a:ext uri="{FF2B5EF4-FFF2-40B4-BE49-F238E27FC236}">
              <a16:creationId xmlns:a16="http://schemas.microsoft.com/office/drawing/2014/main" id="{3826D6A7-F464-407C-854B-A8A56B27E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357187</xdr:colOff>
      <xdr:row>188</xdr:row>
      <xdr:rowOff>130968</xdr:rowOff>
    </xdr:from>
    <xdr:to>
      <xdr:col>23</xdr:col>
      <xdr:colOff>59530</xdr:colOff>
      <xdr:row>196</xdr:row>
      <xdr:rowOff>1</xdr:rowOff>
    </xdr:to>
    <xdr:graphicFrame macro="">
      <xdr:nvGraphicFramePr>
        <xdr:cNvPr id="12" name="Chart 11">
          <a:extLst>
            <a:ext uri="{FF2B5EF4-FFF2-40B4-BE49-F238E27FC236}">
              <a16:creationId xmlns:a16="http://schemas.microsoft.com/office/drawing/2014/main" id="{DF0CE905-20DD-4A2E-9ECF-DCBECAC7E7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107154</xdr:colOff>
      <xdr:row>226</xdr:row>
      <xdr:rowOff>102395</xdr:rowOff>
    </xdr:from>
    <xdr:to>
      <xdr:col>22</xdr:col>
      <xdr:colOff>392904</xdr:colOff>
      <xdr:row>237</xdr:row>
      <xdr:rowOff>95251</xdr:rowOff>
    </xdr:to>
    <xdr:graphicFrame macro="">
      <xdr:nvGraphicFramePr>
        <xdr:cNvPr id="8" name="Chart 7">
          <a:extLst>
            <a:ext uri="{FF2B5EF4-FFF2-40B4-BE49-F238E27FC236}">
              <a16:creationId xmlns:a16="http://schemas.microsoft.com/office/drawing/2014/main" id="{97D9CF58-A08B-4C40-898A-624D4BEB0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950117</xdr:colOff>
      <xdr:row>240</xdr:row>
      <xdr:rowOff>133350</xdr:rowOff>
    </xdr:from>
    <xdr:to>
      <xdr:col>22</xdr:col>
      <xdr:colOff>385760</xdr:colOff>
      <xdr:row>257</xdr:row>
      <xdr:rowOff>9525</xdr:rowOff>
    </xdr:to>
    <xdr:graphicFrame macro="">
      <xdr:nvGraphicFramePr>
        <xdr:cNvPr id="13" name="Chart 12">
          <a:extLst>
            <a:ext uri="{FF2B5EF4-FFF2-40B4-BE49-F238E27FC236}">
              <a16:creationId xmlns:a16="http://schemas.microsoft.com/office/drawing/2014/main" id="{FA13BF4A-27E4-471E-AD39-DABD08D2B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795337</xdr:colOff>
      <xdr:row>269</xdr:row>
      <xdr:rowOff>-1</xdr:rowOff>
    </xdr:from>
    <xdr:to>
      <xdr:col>22</xdr:col>
      <xdr:colOff>369093</xdr:colOff>
      <xdr:row>276</xdr:row>
      <xdr:rowOff>135730</xdr:rowOff>
    </xdr:to>
    <xdr:graphicFrame macro="">
      <xdr:nvGraphicFramePr>
        <xdr:cNvPr id="14" name="Chart 13">
          <a:extLst>
            <a:ext uri="{FF2B5EF4-FFF2-40B4-BE49-F238E27FC236}">
              <a16:creationId xmlns:a16="http://schemas.microsoft.com/office/drawing/2014/main" id="{93349B16-FDD3-4C63-A0DD-B1BC08335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833438</xdr:colOff>
      <xdr:row>282</xdr:row>
      <xdr:rowOff>42862</xdr:rowOff>
    </xdr:from>
    <xdr:to>
      <xdr:col>22</xdr:col>
      <xdr:colOff>59531</xdr:colOff>
      <xdr:row>291</xdr:row>
      <xdr:rowOff>71437</xdr:rowOff>
    </xdr:to>
    <xdr:graphicFrame macro="">
      <xdr:nvGraphicFramePr>
        <xdr:cNvPr id="15" name="Chart 14">
          <a:extLst>
            <a:ext uri="{FF2B5EF4-FFF2-40B4-BE49-F238E27FC236}">
              <a16:creationId xmlns:a16="http://schemas.microsoft.com/office/drawing/2014/main" id="{236137A8-7B56-4D3A-B542-0500822D1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785812</xdr:colOff>
      <xdr:row>298</xdr:row>
      <xdr:rowOff>108743</xdr:rowOff>
    </xdr:from>
    <xdr:to>
      <xdr:col>21</xdr:col>
      <xdr:colOff>762001</xdr:colOff>
      <xdr:row>307</xdr:row>
      <xdr:rowOff>107157</xdr:rowOff>
    </xdr:to>
    <xdr:graphicFrame macro="">
      <xdr:nvGraphicFramePr>
        <xdr:cNvPr id="17" name="CountryProfit">
          <a:extLst>
            <a:ext uri="{FF2B5EF4-FFF2-40B4-BE49-F238E27FC236}">
              <a16:creationId xmlns:a16="http://schemas.microsoft.com/office/drawing/2014/main" id="{B81C50AB-744A-4476-AD74-C14B0817BE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216693</xdr:colOff>
      <xdr:row>313</xdr:row>
      <xdr:rowOff>107155</xdr:rowOff>
    </xdr:from>
    <xdr:to>
      <xdr:col>23</xdr:col>
      <xdr:colOff>273843</xdr:colOff>
      <xdr:row>325</xdr:row>
      <xdr:rowOff>78580</xdr:rowOff>
    </xdr:to>
    <xdr:graphicFrame macro="">
      <xdr:nvGraphicFramePr>
        <xdr:cNvPr id="18" name="Chart 17">
          <a:extLst>
            <a:ext uri="{FF2B5EF4-FFF2-40B4-BE49-F238E27FC236}">
              <a16:creationId xmlns:a16="http://schemas.microsoft.com/office/drawing/2014/main" id="{27DC022D-7069-4813-98EC-DC70FE01B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547687</xdr:colOff>
      <xdr:row>331</xdr:row>
      <xdr:rowOff>88105</xdr:rowOff>
    </xdr:from>
    <xdr:to>
      <xdr:col>23</xdr:col>
      <xdr:colOff>485510</xdr:colOff>
      <xdr:row>347</xdr:row>
      <xdr:rowOff>47625</xdr:rowOff>
    </xdr:to>
    <xdr:graphicFrame macro="">
      <xdr:nvGraphicFramePr>
        <xdr:cNvPr id="19" name="Chart 18">
          <a:extLst>
            <a:ext uri="{FF2B5EF4-FFF2-40B4-BE49-F238E27FC236}">
              <a16:creationId xmlns:a16="http://schemas.microsoft.com/office/drawing/2014/main" id="{E689CC85-E989-40BA-B844-4C07848F7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673892</xdr:colOff>
      <xdr:row>354</xdr:row>
      <xdr:rowOff>164306</xdr:rowOff>
    </xdr:from>
    <xdr:to>
      <xdr:col>22</xdr:col>
      <xdr:colOff>697707</xdr:colOff>
      <xdr:row>363</xdr:row>
      <xdr:rowOff>130970</xdr:rowOff>
    </xdr:to>
    <xdr:graphicFrame macro="">
      <xdr:nvGraphicFramePr>
        <xdr:cNvPr id="20" name="Chart 19">
          <a:extLst>
            <a:ext uri="{FF2B5EF4-FFF2-40B4-BE49-F238E27FC236}">
              <a16:creationId xmlns:a16="http://schemas.microsoft.com/office/drawing/2014/main" id="{2AF59A9B-5099-4383-BDD1-90804FAF6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18</xdr:col>
      <xdr:colOff>930804</xdr:colOff>
      <xdr:row>365</xdr:row>
      <xdr:rowOff>147108</xdr:rowOff>
    </xdr:from>
    <xdr:to>
      <xdr:col>22</xdr:col>
      <xdr:colOff>186797</xdr:colOff>
      <xdr:row>373</xdr:row>
      <xdr:rowOff>10583</xdr:rowOff>
    </xdr:to>
    <xdr:graphicFrame macro="">
      <xdr:nvGraphicFramePr>
        <xdr:cNvPr id="21" name="Chart 20">
          <a:extLst>
            <a:ext uri="{FF2B5EF4-FFF2-40B4-BE49-F238E27FC236}">
              <a16:creationId xmlns:a16="http://schemas.microsoft.com/office/drawing/2014/main" id="{6981B426-EF0F-464D-BEAE-241FFF880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18</xdr:col>
      <xdr:colOff>735805</xdr:colOff>
      <xdr:row>383</xdr:row>
      <xdr:rowOff>140493</xdr:rowOff>
    </xdr:from>
    <xdr:to>
      <xdr:col>22</xdr:col>
      <xdr:colOff>402431</xdr:colOff>
      <xdr:row>390</xdr:row>
      <xdr:rowOff>56884</xdr:rowOff>
    </xdr:to>
    <xdr:graphicFrame macro="">
      <xdr:nvGraphicFramePr>
        <xdr:cNvPr id="22" name="Chart 21">
          <a:extLst>
            <a:ext uri="{FF2B5EF4-FFF2-40B4-BE49-F238E27FC236}">
              <a16:creationId xmlns:a16="http://schemas.microsoft.com/office/drawing/2014/main" id="{5B25E453-3E4F-4ED7-AB45-EEB4158E5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19</xdr:col>
      <xdr:colOff>53180</xdr:colOff>
      <xdr:row>374</xdr:row>
      <xdr:rowOff>112447</xdr:rowOff>
    </xdr:from>
    <xdr:to>
      <xdr:col>23</xdr:col>
      <xdr:colOff>175946</xdr:colOff>
      <xdr:row>382</xdr:row>
      <xdr:rowOff>37306</xdr:rowOff>
    </xdr:to>
    <xdr:graphicFrame macro="">
      <xdr:nvGraphicFramePr>
        <xdr:cNvPr id="23" name="Chart 22">
          <a:extLst>
            <a:ext uri="{FF2B5EF4-FFF2-40B4-BE49-F238E27FC236}">
              <a16:creationId xmlns:a16="http://schemas.microsoft.com/office/drawing/2014/main" id="{77C0962C-1C56-475D-A051-9264C5C91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xdr:col>
      <xdr:colOff>857250</xdr:colOff>
      <xdr:row>399</xdr:row>
      <xdr:rowOff>152401</xdr:rowOff>
    </xdr:from>
    <xdr:to>
      <xdr:col>24</xdr:col>
      <xdr:colOff>428626</xdr:colOff>
      <xdr:row>411</xdr:row>
      <xdr:rowOff>128588</xdr:rowOff>
    </xdr:to>
    <xdr:graphicFrame macro="">
      <xdr:nvGraphicFramePr>
        <xdr:cNvPr id="25" name="Chart 24">
          <a:extLst>
            <a:ext uri="{FF2B5EF4-FFF2-40B4-BE49-F238E27FC236}">
              <a16:creationId xmlns:a16="http://schemas.microsoft.com/office/drawing/2014/main" id="{3C2A25DD-1870-43F8-9A36-A3BD2C0C0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833437</xdr:colOff>
      <xdr:row>434</xdr:row>
      <xdr:rowOff>142874</xdr:rowOff>
    </xdr:from>
    <xdr:to>
      <xdr:col>7</xdr:col>
      <xdr:colOff>85725</xdr:colOff>
      <xdr:row>444</xdr:row>
      <xdr:rowOff>95249</xdr:rowOff>
    </xdr:to>
    <xdr:graphicFrame macro="">
      <xdr:nvGraphicFramePr>
        <xdr:cNvPr id="24" name="Chart 23">
          <a:extLst>
            <a:ext uri="{FF2B5EF4-FFF2-40B4-BE49-F238E27FC236}">
              <a16:creationId xmlns:a16="http://schemas.microsoft.com/office/drawing/2014/main" id="{F1C5CA8A-8FE4-4604-9369-3D91F46E53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xdr:col>
      <xdr:colOff>835818</xdr:colOff>
      <xdr:row>453</xdr:row>
      <xdr:rowOff>35718</xdr:rowOff>
    </xdr:from>
    <xdr:to>
      <xdr:col>7</xdr:col>
      <xdr:colOff>178593</xdr:colOff>
      <xdr:row>461</xdr:row>
      <xdr:rowOff>61912</xdr:rowOff>
    </xdr:to>
    <xdr:graphicFrame macro="">
      <xdr:nvGraphicFramePr>
        <xdr:cNvPr id="26" name="Chart 25">
          <a:extLst>
            <a:ext uri="{FF2B5EF4-FFF2-40B4-BE49-F238E27FC236}">
              <a16:creationId xmlns:a16="http://schemas.microsoft.com/office/drawing/2014/main" id="{44B5007C-ACD9-4AF7-B107-2FE644686D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6</xdr:col>
      <xdr:colOff>209549</xdr:colOff>
      <xdr:row>469</xdr:row>
      <xdr:rowOff>128588</xdr:rowOff>
    </xdr:from>
    <xdr:to>
      <xdr:col>10</xdr:col>
      <xdr:colOff>766762</xdr:colOff>
      <xdr:row>481</xdr:row>
      <xdr:rowOff>128588</xdr:rowOff>
    </xdr:to>
    <xdr:graphicFrame macro="">
      <xdr:nvGraphicFramePr>
        <xdr:cNvPr id="27" name="Chart 26">
          <a:extLst>
            <a:ext uri="{FF2B5EF4-FFF2-40B4-BE49-F238E27FC236}">
              <a16:creationId xmlns:a16="http://schemas.microsoft.com/office/drawing/2014/main" id="{7452AFA1-2BCD-4B46-8F85-3B01B9EF68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7</xdr:col>
      <xdr:colOff>154780</xdr:colOff>
      <xdr:row>487</xdr:row>
      <xdr:rowOff>47624</xdr:rowOff>
    </xdr:from>
    <xdr:to>
      <xdr:col>9</xdr:col>
      <xdr:colOff>1131093</xdr:colOff>
      <xdr:row>502</xdr:row>
      <xdr:rowOff>4762</xdr:rowOff>
    </xdr:to>
    <xdr:graphicFrame macro="">
      <xdr:nvGraphicFramePr>
        <xdr:cNvPr id="28" name="Chart 27">
          <a:extLst>
            <a:ext uri="{FF2B5EF4-FFF2-40B4-BE49-F238E27FC236}">
              <a16:creationId xmlns:a16="http://schemas.microsoft.com/office/drawing/2014/main" id="{6851AFD3-A443-4677-81D4-1AB45F757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xdr:col>
      <xdr:colOff>1418162</xdr:colOff>
      <xdr:row>516</xdr:row>
      <xdr:rowOff>42332</xdr:rowOff>
    </xdr:from>
    <xdr:to>
      <xdr:col>6</xdr:col>
      <xdr:colOff>433916</xdr:colOff>
      <xdr:row>521</xdr:row>
      <xdr:rowOff>63500</xdr:rowOff>
    </xdr:to>
    <xdr:graphicFrame macro="">
      <xdr:nvGraphicFramePr>
        <xdr:cNvPr id="29" name="Chart 28">
          <a:extLst>
            <a:ext uri="{FF2B5EF4-FFF2-40B4-BE49-F238E27FC236}">
              <a16:creationId xmlns:a16="http://schemas.microsoft.com/office/drawing/2014/main" id="{2CAFF7CF-144D-4A24-B71B-863E5AE85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7</xdr:col>
      <xdr:colOff>179916</xdr:colOff>
      <xdr:row>529</xdr:row>
      <xdr:rowOff>31751</xdr:rowOff>
    </xdr:from>
    <xdr:to>
      <xdr:col>9</xdr:col>
      <xdr:colOff>796542</xdr:colOff>
      <xdr:row>533</xdr:row>
      <xdr:rowOff>12351</xdr:rowOff>
    </xdr:to>
    <xdr:graphicFrame macro="">
      <xdr:nvGraphicFramePr>
        <xdr:cNvPr id="32" name="Chart 31">
          <a:extLst>
            <a:ext uri="{FF2B5EF4-FFF2-40B4-BE49-F238E27FC236}">
              <a16:creationId xmlns:a16="http://schemas.microsoft.com/office/drawing/2014/main" id="{4BECFDDE-A494-4FB6-A92C-E7E548C5E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3</xdr:col>
      <xdr:colOff>1137709</xdr:colOff>
      <xdr:row>541</xdr:row>
      <xdr:rowOff>74082</xdr:rowOff>
    </xdr:from>
    <xdr:to>
      <xdr:col>9</xdr:col>
      <xdr:colOff>127001</xdr:colOff>
      <xdr:row>548</xdr:row>
      <xdr:rowOff>21165</xdr:rowOff>
    </xdr:to>
    <xdr:graphicFrame macro="">
      <xdr:nvGraphicFramePr>
        <xdr:cNvPr id="33" name="Chart 32">
          <a:extLst>
            <a:ext uri="{FF2B5EF4-FFF2-40B4-BE49-F238E27FC236}">
              <a16:creationId xmlns:a16="http://schemas.microsoft.com/office/drawing/2014/main" id="{4A579E66-2602-4D13-A8C7-5E3D5B8AC7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xdr:col>
      <xdr:colOff>1296458</xdr:colOff>
      <xdr:row>553</xdr:row>
      <xdr:rowOff>74083</xdr:rowOff>
    </xdr:from>
    <xdr:to>
      <xdr:col>9</xdr:col>
      <xdr:colOff>486834</xdr:colOff>
      <xdr:row>560</xdr:row>
      <xdr:rowOff>158749</xdr:rowOff>
    </xdr:to>
    <xdr:graphicFrame macro="">
      <xdr:nvGraphicFramePr>
        <xdr:cNvPr id="34" name="Chart 33">
          <a:extLst>
            <a:ext uri="{FF2B5EF4-FFF2-40B4-BE49-F238E27FC236}">
              <a16:creationId xmlns:a16="http://schemas.microsoft.com/office/drawing/2014/main" id="{2DECA0E4-D4C5-4443-8236-BD9EE110F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52916</xdr:colOff>
      <xdr:row>516</xdr:row>
      <xdr:rowOff>31750</xdr:rowOff>
    </xdr:from>
    <xdr:to>
      <xdr:col>10</xdr:col>
      <xdr:colOff>190500</xdr:colOff>
      <xdr:row>522</xdr:row>
      <xdr:rowOff>63500</xdr:rowOff>
    </xdr:to>
    <xdr:graphicFrame macro="">
      <xdr:nvGraphicFramePr>
        <xdr:cNvPr id="30" name="Chart 29">
          <a:extLst>
            <a:ext uri="{FF2B5EF4-FFF2-40B4-BE49-F238E27FC236}">
              <a16:creationId xmlns:a16="http://schemas.microsoft.com/office/drawing/2014/main" id="{42E5437B-0BF9-465E-99FC-9792E0E93F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18</xdr:col>
      <xdr:colOff>833438</xdr:colOff>
      <xdr:row>637</xdr:row>
      <xdr:rowOff>68791</xdr:rowOff>
    </xdr:from>
    <xdr:to>
      <xdr:col>23</xdr:col>
      <xdr:colOff>76729</xdr:colOff>
      <xdr:row>651</xdr:row>
      <xdr:rowOff>37042</xdr:rowOff>
    </xdr:to>
    <xdr:graphicFrame macro="">
      <xdr:nvGraphicFramePr>
        <xdr:cNvPr id="36" name="Chart 35">
          <a:extLst>
            <a:ext uri="{FF2B5EF4-FFF2-40B4-BE49-F238E27FC236}">
              <a16:creationId xmlns:a16="http://schemas.microsoft.com/office/drawing/2014/main" id="{77CA87AB-F4FB-4307-A08F-93BC07CBC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18</xdr:col>
      <xdr:colOff>907521</xdr:colOff>
      <xdr:row>664</xdr:row>
      <xdr:rowOff>112711</xdr:rowOff>
    </xdr:from>
    <xdr:to>
      <xdr:col>23</xdr:col>
      <xdr:colOff>949854</xdr:colOff>
      <xdr:row>681</xdr:row>
      <xdr:rowOff>157161</xdr:rowOff>
    </xdr:to>
    <xdr:graphicFrame macro="">
      <xdr:nvGraphicFramePr>
        <xdr:cNvPr id="38" name="Chart 37">
          <a:extLst>
            <a:ext uri="{FF2B5EF4-FFF2-40B4-BE49-F238E27FC236}">
              <a16:creationId xmlns:a16="http://schemas.microsoft.com/office/drawing/2014/main" id="{FD8545F9-8B5D-4054-B716-F6ED4B6F2A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19</xdr:col>
      <xdr:colOff>164041</xdr:colOff>
      <xdr:row>693</xdr:row>
      <xdr:rowOff>149753</xdr:rowOff>
    </xdr:from>
    <xdr:to>
      <xdr:col>24</xdr:col>
      <xdr:colOff>158750</xdr:colOff>
      <xdr:row>711</xdr:row>
      <xdr:rowOff>35453</xdr:rowOff>
    </xdr:to>
    <xdr:graphicFrame macro="">
      <xdr:nvGraphicFramePr>
        <xdr:cNvPr id="39" name="Chart 38">
          <a:extLst>
            <a:ext uri="{FF2B5EF4-FFF2-40B4-BE49-F238E27FC236}">
              <a16:creationId xmlns:a16="http://schemas.microsoft.com/office/drawing/2014/main" id="{1FF62C9A-8F2D-41FA-B36E-90CCD51403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19</xdr:col>
      <xdr:colOff>37042</xdr:colOff>
      <xdr:row>718</xdr:row>
      <xdr:rowOff>115357</xdr:rowOff>
    </xdr:from>
    <xdr:to>
      <xdr:col>24</xdr:col>
      <xdr:colOff>31751</xdr:colOff>
      <xdr:row>736</xdr:row>
      <xdr:rowOff>1057</xdr:rowOff>
    </xdr:to>
    <xdr:graphicFrame macro="">
      <xdr:nvGraphicFramePr>
        <xdr:cNvPr id="40" name="Chart 39">
          <a:extLst>
            <a:ext uri="{FF2B5EF4-FFF2-40B4-BE49-F238E27FC236}">
              <a16:creationId xmlns:a16="http://schemas.microsoft.com/office/drawing/2014/main" id="{5CA3E861-42CA-48A7-BAD9-6ED21E9C52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774700</xdr:colOff>
      <xdr:row>724</xdr:row>
      <xdr:rowOff>56091</xdr:rowOff>
    </xdr:from>
    <xdr:to>
      <xdr:col>16</xdr:col>
      <xdr:colOff>428625</xdr:colOff>
      <xdr:row>740</xdr:row>
      <xdr:rowOff>133351</xdr:rowOff>
    </xdr:to>
    <xdr:graphicFrame macro="">
      <xdr:nvGraphicFramePr>
        <xdr:cNvPr id="41" name="Chart 40">
          <a:extLst>
            <a:ext uri="{FF2B5EF4-FFF2-40B4-BE49-F238E27FC236}">
              <a16:creationId xmlns:a16="http://schemas.microsoft.com/office/drawing/2014/main" id="{3026B34D-8D84-4A13-B885-1AB1C7636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7</xdr:col>
      <xdr:colOff>507999</xdr:colOff>
      <xdr:row>773</xdr:row>
      <xdr:rowOff>9523</xdr:rowOff>
    </xdr:from>
    <xdr:to>
      <xdr:col>10</xdr:col>
      <xdr:colOff>1894416</xdr:colOff>
      <xdr:row>790</xdr:row>
      <xdr:rowOff>53973</xdr:rowOff>
    </xdr:to>
    <xdr:graphicFrame macro="">
      <xdr:nvGraphicFramePr>
        <xdr:cNvPr id="44" name="Chart 43">
          <a:extLst>
            <a:ext uri="{FF2B5EF4-FFF2-40B4-BE49-F238E27FC236}">
              <a16:creationId xmlns:a16="http://schemas.microsoft.com/office/drawing/2014/main" id="{47A45AC2-1CF3-4A63-832D-2EE22242E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7</xdr:col>
      <xdr:colOff>547688</xdr:colOff>
      <xdr:row>795</xdr:row>
      <xdr:rowOff>123825</xdr:rowOff>
    </xdr:from>
    <xdr:to>
      <xdr:col>9</xdr:col>
      <xdr:colOff>1114426</xdr:colOff>
      <xdr:row>805</xdr:row>
      <xdr:rowOff>28574</xdr:rowOff>
    </xdr:to>
    <xdr:graphicFrame macro="">
      <xdr:nvGraphicFramePr>
        <xdr:cNvPr id="31" name="Chart 30">
          <a:extLst>
            <a:ext uri="{FF2B5EF4-FFF2-40B4-BE49-F238E27FC236}">
              <a16:creationId xmlns:a16="http://schemas.microsoft.com/office/drawing/2014/main" id="{76AEB67D-7DFB-4C0A-AC7F-4DD55EE7E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7</xdr:col>
      <xdr:colOff>576262</xdr:colOff>
      <xdr:row>827</xdr:row>
      <xdr:rowOff>133350</xdr:rowOff>
    </xdr:from>
    <xdr:to>
      <xdr:col>9</xdr:col>
      <xdr:colOff>1495424</xdr:colOff>
      <xdr:row>834</xdr:row>
      <xdr:rowOff>66675</xdr:rowOff>
    </xdr:to>
    <xdr:graphicFrame macro="">
      <xdr:nvGraphicFramePr>
        <xdr:cNvPr id="35" name="Chart 34">
          <a:extLst>
            <a:ext uri="{FF2B5EF4-FFF2-40B4-BE49-F238E27FC236}">
              <a16:creationId xmlns:a16="http://schemas.microsoft.com/office/drawing/2014/main" id="{4A27B350-7C76-41F5-90D7-8022C2FF7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190500</xdr:colOff>
      <xdr:row>846</xdr:row>
      <xdr:rowOff>54428</xdr:rowOff>
    </xdr:from>
    <xdr:to>
      <xdr:col>10</xdr:col>
      <xdr:colOff>129268</xdr:colOff>
      <xdr:row>858</xdr:row>
      <xdr:rowOff>58510</xdr:rowOff>
    </xdr:to>
    <xdr:graphicFrame macro="">
      <xdr:nvGraphicFramePr>
        <xdr:cNvPr id="37" name="Chart 36">
          <a:extLst>
            <a:ext uri="{FF2B5EF4-FFF2-40B4-BE49-F238E27FC236}">
              <a16:creationId xmlns:a16="http://schemas.microsoft.com/office/drawing/2014/main" id="{C6C5D87F-51C9-4F11-979C-7A48EF5FA6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278947</xdr:colOff>
      <xdr:row>881</xdr:row>
      <xdr:rowOff>68036</xdr:rowOff>
    </xdr:from>
    <xdr:to>
      <xdr:col>9</xdr:col>
      <xdr:colOff>898072</xdr:colOff>
      <xdr:row>890</xdr:row>
      <xdr:rowOff>153761</xdr:rowOff>
    </xdr:to>
    <xdr:graphicFrame macro="">
      <xdr:nvGraphicFramePr>
        <xdr:cNvPr id="45" name="Chart 44">
          <a:extLst>
            <a:ext uri="{FF2B5EF4-FFF2-40B4-BE49-F238E27FC236}">
              <a16:creationId xmlns:a16="http://schemas.microsoft.com/office/drawing/2014/main" id="{31E2C71A-E974-47BF-BE8B-3BD6847D9B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7</xdr:col>
      <xdr:colOff>304800</xdr:colOff>
      <xdr:row>898</xdr:row>
      <xdr:rowOff>104775</xdr:rowOff>
    </xdr:from>
    <xdr:to>
      <xdr:col>10</xdr:col>
      <xdr:colOff>1562100</xdr:colOff>
      <xdr:row>915</xdr:row>
      <xdr:rowOff>95250</xdr:rowOff>
    </xdr:to>
    <xdr:graphicFrame macro="">
      <xdr:nvGraphicFramePr>
        <xdr:cNvPr id="43" name="Chart 42">
          <a:extLst>
            <a:ext uri="{FF2B5EF4-FFF2-40B4-BE49-F238E27FC236}">
              <a16:creationId xmlns:a16="http://schemas.microsoft.com/office/drawing/2014/main" id="{BE9DDCD5-482C-459F-8C6A-2A655D846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3</xdr:col>
      <xdr:colOff>790575</xdr:colOff>
      <xdr:row>248</xdr:row>
      <xdr:rowOff>152400</xdr:rowOff>
    </xdr:from>
    <xdr:to>
      <xdr:col>9</xdr:col>
      <xdr:colOff>495300</xdr:colOff>
      <xdr:row>265</xdr:row>
      <xdr:rowOff>142875</xdr:rowOff>
    </xdr:to>
    <xdr:graphicFrame macro="">
      <xdr:nvGraphicFramePr>
        <xdr:cNvPr id="42" name="Chart 41">
          <a:extLst>
            <a:ext uri="{FF2B5EF4-FFF2-40B4-BE49-F238E27FC236}">
              <a16:creationId xmlns:a16="http://schemas.microsoft.com/office/drawing/2014/main" id="{E296CE5C-139D-4BDB-9A21-4CEEEED73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2</xdr:col>
      <xdr:colOff>538162</xdr:colOff>
      <xdr:row>103</xdr:row>
      <xdr:rowOff>123825</xdr:rowOff>
    </xdr:from>
    <xdr:to>
      <xdr:col>7</xdr:col>
      <xdr:colOff>1100137</xdr:colOff>
      <xdr:row>120</xdr:row>
      <xdr:rowOff>47625</xdr:rowOff>
    </xdr:to>
    <xdr:graphicFrame macro="">
      <xdr:nvGraphicFramePr>
        <xdr:cNvPr id="46" name="Chart 45">
          <a:extLst>
            <a:ext uri="{FF2B5EF4-FFF2-40B4-BE49-F238E27FC236}">
              <a16:creationId xmlns:a16="http://schemas.microsoft.com/office/drawing/2014/main" id="{3347C0A3-84A4-4F49-AC3E-588DC34A4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2</xdr:col>
      <xdr:colOff>366711</xdr:colOff>
      <xdr:row>379</xdr:row>
      <xdr:rowOff>47625</xdr:rowOff>
    </xdr:from>
    <xdr:to>
      <xdr:col>5</xdr:col>
      <xdr:colOff>323849</xdr:colOff>
      <xdr:row>390</xdr:row>
      <xdr:rowOff>152400</xdr:rowOff>
    </xdr:to>
    <xdr:graphicFrame macro="">
      <xdr:nvGraphicFramePr>
        <xdr:cNvPr id="47" name="Chart 46">
          <a:extLst>
            <a:ext uri="{FF2B5EF4-FFF2-40B4-BE49-F238E27FC236}">
              <a16:creationId xmlns:a16="http://schemas.microsoft.com/office/drawing/2014/main" id="{548F9054-C9D5-4A6A-A822-6ED8800DA4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490537</xdr:colOff>
      <xdr:row>948</xdr:row>
      <xdr:rowOff>38100</xdr:rowOff>
    </xdr:from>
    <xdr:to>
      <xdr:col>13</xdr:col>
      <xdr:colOff>995362</xdr:colOff>
      <xdr:row>965</xdr:row>
      <xdr:rowOff>28575</xdr:rowOff>
    </xdr:to>
    <xdr:graphicFrame macro="">
      <xdr:nvGraphicFramePr>
        <xdr:cNvPr id="48" name="Chart 47">
          <a:extLst>
            <a:ext uri="{FF2B5EF4-FFF2-40B4-BE49-F238E27FC236}">
              <a16:creationId xmlns:a16="http://schemas.microsoft.com/office/drawing/2014/main" id="{0316F322-6B2C-428E-9F7C-AFE48C03A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247649</xdr:colOff>
      <xdr:row>23</xdr:row>
      <xdr:rowOff>76200</xdr:rowOff>
    </xdr:from>
    <xdr:to>
      <xdr:col>9</xdr:col>
      <xdr:colOff>152399</xdr:colOff>
      <xdr:row>49</xdr:row>
      <xdr:rowOff>133350</xdr:rowOff>
    </xdr:to>
    <xdr:graphicFrame macro="">
      <xdr:nvGraphicFramePr>
        <xdr:cNvPr id="5" name="Chart 4">
          <a:extLst>
            <a:ext uri="{FF2B5EF4-FFF2-40B4-BE49-F238E27FC236}">
              <a16:creationId xmlns:a16="http://schemas.microsoft.com/office/drawing/2014/main" id="{D583A641-7DF0-4A90-9643-B7A6D69E7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438150</xdr:colOff>
      <xdr:row>676</xdr:row>
      <xdr:rowOff>123825</xdr:rowOff>
    </xdr:from>
    <xdr:to>
      <xdr:col>17</xdr:col>
      <xdr:colOff>533400</xdr:colOff>
      <xdr:row>703</xdr:row>
      <xdr:rowOff>19049</xdr:rowOff>
    </xdr:to>
    <xdr:graphicFrame macro="">
      <xdr:nvGraphicFramePr>
        <xdr:cNvPr id="4" name="Chart 3">
          <a:extLst>
            <a:ext uri="{FF2B5EF4-FFF2-40B4-BE49-F238E27FC236}">
              <a16:creationId xmlns:a16="http://schemas.microsoft.com/office/drawing/2014/main" id="{D8764E5D-3F23-4F2E-A109-2C697D51EF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asish Deb" refreshedDate="44612.787824421299" createdVersion="6" refreshedVersion="6" minRefreshableVersion="3" recordCount="700" xr:uid="{4BF5A36B-7A3B-4818-BCFC-07D4D6188C33}">
  <cacheSource type="worksheet">
    <worksheetSource name="DataTable"/>
  </cacheSource>
  <cacheFields count="21">
    <cacheField name="Date" numFmtId="14">
      <sharedItems containsSemiMixedTypes="0" containsNonDate="0" containsDate="1" containsString="0" minDate="2013-09-01T00:00:00" maxDate="2014-12-02T00:00:00" count="16">
        <d v="2013-11-01T00:00:00"/>
        <d v="2014-04-01T00:00:00"/>
        <d v="2014-08-01T00:00:00"/>
        <d v="2014-02-01T00:00:00"/>
        <d v="2013-09-01T00:00:00"/>
        <d v="2014-06-01T00:00:00"/>
        <d v="2014-09-01T00:00:00"/>
        <d v="2014-07-01T00:00:00"/>
        <d v="2014-03-01T00:00:00"/>
        <d v="2014-11-01T00:00:00"/>
        <d v="2014-01-01T00:00:00"/>
        <d v="2013-10-01T00:00:00"/>
        <d v="2013-12-01T00:00:00"/>
        <d v="2014-10-01T00:00:00"/>
        <d v="2014-12-01T00:00:00"/>
        <d v="2014-05-01T00:00:00"/>
      </sharedItems>
      <fieldGroup par="20" base="0">
        <rangePr groupBy="months" startDate="2013-09-01T00:00:00" endDate="2014-12-02T00:00:00"/>
        <groupItems count="14">
          <s v="&lt;01-09-2013"/>
          <s v="Jan"/>
          <s v="Feb"/>
          <s v="Mar"/>
          <s v="Apr"/>
          <s v="May"/>
          <s v="Jun"/>
          <s v="Jul"/>
          <s v="Aug"/>
          <s v="Sep"/>
          <s v="Oct"/>
          <s v="Nov"/>
          <s v="Dec"/>
          <s v="&gt;02-12-2014"/>
        </groupItems>
      </fieldGroup>
    </cacheField>
    <cacheField name="Product" numFmtId="0">
      <sharedItems count="6">
        <s v="Paseo"/>
        <s v="Amarilla"/>
        <s v="Carretera"/>
        <s v="Montana"/>
        <s v="Velo"/>
        <s v="VTT"/>
      </sharedItems>
    </cacheField>
    <cacheField name="Segment" numFmtId="0">
      <sharedItems count="5">
        <s v="Channel Partners"/>
        <s v="Enterprise"/>
        <s v="Government"/>
        <s v="Midmarket"/>
        <s v="Small Business"/>
      </sharedItems>
    </cacheField>
    <cacheField name="Country" numFmtId="0">
      <sharedItems count="5">
        <s v="United States of America"/>
        <s v="Mexico"/>
        <s v="Germany"/>
        <s v="France"/>
        <s v="Canada"/>
      </sharedItems>
    </cacheField>
    <cacheField name="Market" numFmtId="0">
      <sharedItems count="2">
        <s v="North America"/>
        <s v="Europe"/>
      </sharedItems>
    </cacheField>
    <cacheField name="Manufacturing Price" numFmtId="167">
      <sharedItems containsSemiMixedTypes="0" containsString="0" containsNumber="1" containsInteger="1" minValue="3" maxValue="260"/>
    </cacheField>
    <cacheField name="COGS" numFmtId="167">
      <sharedItems containsSemiMixedTypes="0" containsString="0" containsNumber="1" minValue="918" maxValue="950625"/>
    </cacheField>
    <cacheField name="Sale Price" numFmtId="167">
      <sharedItems containsSemiMixedTypes="0" containsString="0" containsNumber="1" containsInteger="1" minValue="7" maxValue="350" count="7">
        <n v="12"/>
        <n v="125"/>
        <n v="7"/>
        <n v="20"/>
        <n v="350"/>
        <n v="15"/>
        <n v="300"/>
      </sharedItems>
    </cacheField>
    <cacheField name="Units Sold" numFmtId="1">
      <sharedItems containsSemiMixedTypes="0" containsString="0" containsNumber="1" minValue="200" maxValue="4492.5"/>
    </cacheField>
    <cacheField name="Gross Sales" numFmtId="167">
      <sharedItems containsSemiMixedTypes="0" containsString="0" containsNumber="1" minValue="1799" maxValue="1207500"/>
    </cacheField>
    <cacheField name="Discounts" numFmtId="167">
      <sharedItems containsSemiMixedTypes="0" containsString="0" containsNumber="1" minValue="0" maxValue="149677.5"/>
    </cacheField>
    <cacheField name="Discount Band" numFmtId="0">
      <sharedItems count="4">
        <s v="None"/>
        <s v="Low"/>
        <s v="Medium"/>
        <s v="High"/>
      </sharedItems>
    </cacheField>
    <cacheField name="Sales" numFmtId="167">
      <sharedItems containsSemiMixedTypes="0" containsString="0" containsNumber="1" minValue="1655.08" maxValue="1159200"/>
    </cacheField>
    <cacheField name="Profit" numFmtId="167">
      <sharedItems containsSemiMixedTypes="0" containsString="0" containsNumber="1" minValue="-40617.5" maxValue="262200"/>
    </cacheField>
    <cacheField name="Profit Target" numFmtId="0">
      <sharedItems count="2">
        <s v="Achived"/>
        <s v="Not Achived"/>
      </sharedItems>
    </cacheField>
    <cacheField name="Profit Ratio" numFmtId="168">
      <sharedItems containsSemiMixedTypes="0" containsString="0" containsNumber="1" minValue="-0.11458333333333333" maxValue="3"/>
    </cacheField>
    <cacheField name="MC_US" numFmtId="0">
      <sharedItems containsSemiMixedTypes="0" containsString="0" containsNumber="1" minValue="642" maxValue="1097070"/>
    </cacheField>
    <cacheField name="COGS-MC_US" numFmtId="169">
      <sharedItems containsSemiMixedTypes="0" containsString="0" containsNumber="1" minValue="-929880" maxValue="931612.5"/>
    </cacheField>
    <cacheField name="Corr Manufacturing" numFmtId="169">
      <sharedItems containsSemiMixedTypes="0" containsString="0" containsNumber="1" containsInteger="1" minValue="3" maxValue="260"/>
    </cacheField>
    <cacheField name="Quarters" numFmtId="0" databaseField="0">
      <fieldGroup base="0">
        <rangePr groupBy="quarters" startDate="2013-09-01T00:00:00" endDate="2014-12-02T00:00:00"/>
        <groupItems count="6">
          <s v="&lt;01-09-2013"/>
          <s v="Qtr1"/>
          <s v="Qtr2"/>
          <s v="Qtr3"/>
          <s v="Qtr4"/>
          <s v="&gt;02-12-2014"/>
        </groupItems>
      </fieldGroup>
    </cacheField>
    <cacheField name="Years" numFmtId="0" databaseField="0">
      <fieldGroup base="0">
        <rangePr groupBy="years" startDate="2013-09-01T00:00:00" endDate="2014-12-02T00:00:00"/>
        <groupItems count="4">
          <s v="&lt;01-09-2013"/>
          <s v="2013"/>
          <s v="2014"/>
          <s v="&gt;02-12-2014"/>
        </groupItems>
      </fieldGroup>
    </cacheField>
  </cacheFields>
  <extLst>
    <ext xmlns:x14="http://schemas.microsoft.com/office/spreadsheetml/2009/9/main" uri="{725AE2AE-9491-48be-B2B4-4EB974FC3084}">
      <x14:pivotCacheDefinition pivotCacheId="19440361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asish Deb" refreshedDate="44612.787921643518" createdVersion="6" refreshedVersion="6" minRefreshableVersion="3" recordCount="700" xr:uid="{ED061B63-93C1-4E69-B43F-327E2FA3447D}">
  <cacheSource type="worksheet">
    <worksheetSource name="Table2"/>
  </cacheSource>
  <cacheFields count="11">
    <cacheField name="Product" numFmtId="0">
      <sharedItems count="150">
        <s v="Government-Canada-Carretera"/>
        <s v="Government-Germany-Carretera"/>
        <s v="Midmarket-France-Carretera"/>
        <s v="Midmarket-Germany-Carretera"/>
        <s v="Midmarket-Mexico-Carretera"/>
        <s v="Midmarket-Germany-Montana"/>
        <s v="Channel Partners-Canada-Montana"/>
        <s v="Government-France-Montana"/>
        <s v="Channel Partners-Germany-Montana"/>
        <s v="Midmarket-Mexico-Montana"/>
        <s v="Enterprise-Canada-Montana"/>
        <s v="Small Business-Mexico-Montana"/>
        <s v="Government-Germany-Montana"/>
        <s v="Midmarket-United States of America-Montana"/>
        <s v="Government-Canada-Paseo"/>
        <s v="Midmarket-Mexico-Paseo"/>
        <s v="Channel Partners-Canada-Paseo"/>
        <s v="Government-Germany-Paseo"/>
        <s v="Channel Partners-Germany-Paseo"/>
        <s v="Government-Mexico-Paseo"/>
        <s v="Midmarket-France-Paseo"/>
        <s v="Small Business-Mexico-Paseo"/>
        <s v="Government-United States of America-Paseo"/>
        <s v="Channel Partners-United States of America-Paseo"/>
        <s v="Midmarket-Canada-Paseo"/>
        <s v="Government-Mexico-Velo"/>
        <s v="Enterprise-France-Velo"/>
        <s v="Channel Partners-Germany-Velo"/>
        <s v="Government-Germany-Velo"/>
        <s v="Enterprise-United States of America-Velo"/>
        <s v="Enterprise-Canada-Velo"/>
        <s v="Small Business-Canada-VTT"/>
        <s v="Channel Partners-Germany-VTT"/>
        <s v="Midmarket-France-VTT"/>
        <s v="Midmarket-Germany-VTT"/>
        <s v="Government-France-VTT"/>
        <s v="Small Business-France-VTT"/>
        <s v="Government-Canada-VTT"/>
        <s v="Government-France-Amarilla"/>
        <s v="Channel Partners-United States of America-Amarilla"/>
        <s v="Enterprise-Germany-Amarilla"/>
        <s v="Government-Germany-Amarilla"/>
        <s v="Government-United States of America-Amarilla"/>
        <s v="Midmarket-United States of America-Amarilla"/>
        <s v="Government-France-Paseo"/>
        <s v="Government-France-Velo"/>
        <s v="Channel Partners-United States of America-Carretera"/>
        <s v="Government-Mexico-Carretera"/>
        <s v="Government-United States of America-Carretera"/>
        <s v="Channel Partners-Canada-Carretera"/>
        <s v="Enterprise-United States of America-Carretera"/>
        <s v="Channel Partners-France-Carretera"/>
        <s v="Channel Partners-Germany-Carretera"/>
        <s v="Small Business-Mexico-Carretera"/>
        <s v="Government-France-Carretera"/>
        <s v="Small Business-United States of America-Montana"/>
        <s v="Government-Canada-Montana"/>
        <s v="Enterprise-United States of America-Montana"/>
        <s v="Midmarket-United States of America-Paseo"/>
        <s v="Enterprise-United States of America-Paseo"/>
        <s v="Enterprise-France-Paseo"/>
        <s v="Enterprise-Mexico-Paseo"/>
        <s v="Midmarket-Germany-Paseo"/>
        <s v="Small Business-United States of America-Paseo"/>
        <s v="Government-Canada-Velo"/>
        <s v="Government-Germany-VTT"/>
        <s v="Enterprise-United States of America-VTT"/>
        <s v="Enterprise-France-VTT"/>
        <s v="Small Business-Germany-VTT"/>
        <s v="Small Business-Mexico-VTT"/>
        <s v="Government-Mexico-VTT"/>
        <s v="Midmarket-France-Amarilla"/>
        <s v="Enterprise-Canada-Carretera"/>
        <s v="Small Business-Germany-Carretera"/>
        <s v="Channel Partners-United States of America-Montana"/>
        <s v="Government-United States of America-Montana"/>
        <s v="Channel Partners-Mexico-Montana"/>
        <s v="Enterprise-Mexico-Montana"/>
        <s v="Small Business-France-Paseo"/>
        <s v="Small Business-Germany-Paseo"/>
        <s v="Enterprise-Germany-Paseo"/>
        <s v="Channel Partners-France-Paseo"/>
        <s v="Small Business-Canada-Paseo"/>
        <s v="Enterprise-Canada-Paseo"/>
        <s v="Channel Partners-Mexico-Paseo"/>
        <s v="Government-United States of America-Velo"/>
        <s v="Enterprise-Germany-Velo"/>
        <s v="Enterprise-Mexico-Velo"/>
        <s v="Channel Partners-France-Velo"/>
        <s v="Channel Partners-Mexico-Velo"/>
        <s v="Enterprise-Mexico-VTT"/>
        <s v="Enterprise-Canada-VTT"/>
        <s v="Government-United States of America-VTT"/>
        <s v="Small Business-Germany-Amarilla"/>
        <s v="Small Business-Mexico-Amarilla"/>
        <s v="Small Business-Canada-Amarilla"/>
        <s v="Enterprise-France-Carretera"/>
        <s v="Channel Partners-France-Montana"/>
        <s v="Enterprise-France-Montana"/>
        <s v="Enterprise-Germany-Montana"/>
        <s v="Small Business-United States of America-VTT"/>
        <s v="Channel Partners-Mexico-VTT"/>
        <s v="Enterprise-Germany-VTT"/>
        <s v="Midmarket-Canada-Montana"/>
        <s v="Small Business-Germany-Montana"/>
        <s v="Channel Partners-United States of America-Velo"/>
        <s v="Channel Partners-France-VTT"/>
        <s v="Midmarket-Mexico-VTT"/>
        <s v="Government-Mexico-Amarilla"/>
        <s v="Enterprise-Mexico-Amarilla"/>
        <s v="Government-Canada-Amarilla"/>
        <s v="Channel Partners-Canada-Velo"/>
        <s v="Channel Partners-Mexico-Amarilla"/>
        <s v="Small Business-United States of America-Carretera"/>
        <s v="Government-Mexico-Montana"/>
        <s v="Midmarket-United States of America-Velo"/>
        <s v="Midmarket-Mexico-Velo"/>
        <s v="Small Business-Germany-Velo"/>
        <s v="Midmarket-Canada-Carretera"/>
        <s v="Channel Partners-Mexico-Carretera"/>
        <s v="Midmarket-United States of America-Carretera"/>
        <s v="Enterprise-Germany-Carretera"/>
        <s v="Midmarket-Germany-Velo"/>
        <s v="Small Business-France-Velo"/>
        <s v="Midmarket-Canada-VTT"/>
        <s v="Enterprise-France-Amarilla"/>
        <s v="Midmarket-United States of America-VTT"/>
        <s v="Midmarket-Canada-Velo"/>
        <s v="Small Business-France-Carretera"/>
        <s v="Small Business-France-Montana"/>
        <s v="Small Business-United States of America-Velo"/>
        <s v="Channel Partners-Canada-VTT"/>
        <s v="Enterprise-Canada-Amarilla"/>
        <s v="Small Business-United States of America-Amarilla"/>
        <s v="Enterprise-Mexico-Carretera"/>
        <s v="Midmarket-France-Montana"/>
        <s v="Small Business-Canada-Montana"/>
        <s v="Small Business-Mexico-Velo"/>
        <s v="Midmarket-Germany-Amarilla"/>
        <s v="Small Business-Canada-Carretera"/>
        <s v="Small Business-Canada-Velo"/>
        <s v="Channel Partners-United States of America-VTT"/>
        <s v="Midmarket-Canada-Amarilla"/>
        <s v="Channel Partners-France-Amarilla"/>
        <s v="Enterprise-United States of America-Amarilla"/>
        <s v="Channel Partners-Canada-Amarilla"/>
        <s v="Channel Partners-Germany-Amarilla"/>
        <s v="Small Business-France-Amarilla"/>
        <s v="Midmarket-Mexico-Amarilla"/>
        <s v="Midmarket-France-Velo"/>
      </sharedItems>
    </cacheField>
    <cacheField name="Discount Band" numFmtId="0">
      <sharedItems/>
    </cacheField>
    <cacheField name="Units Sold" numFmtId="0">
      <sharedItems containsSemiMixedTypes="0" containsString="0" containsNumber="1" minValue="200" maxValue="4492.5"/>
    </cacheField>
    <cacheField name="Manufacturing Price" numFmtId="164">
      <sharedItems containsSemiMixedTypes="0" containsString="0" containsNumber="1" containsInteger="1" minValue="3" maxValue="260"/>
    </cacheField>
    <cacheField name="Sale Price" numFmtId="4">
      <sharedItems containsSemiMixedTypes="0" containsString="0" containsNumber="1" containsInteger="1" minValue="7" maxValue="350"/>
    </cacheField>
    <cacheField name="Gross Sales" numFmtId="4">
      <sharedItems containsMixedTypes="1" containsNumber="1" minValue="1799" maxValue="99375"/>
    </cacheField>
    <cacheField name="Discounts" numFmtId="49">
      <sharedItems containsBlank="1"/>
    </cacheField>
    <cacheField name="Sales" numFmtId="2">
      <sharedItems containsMixedTypes="1" containsNumber="1" minValue="1655.08" maxValue="99758.75"/>
    </cacheField>
    <cacheField name="COGS" numFmtId="4">
      <sharedItems containsMixedTypes="1" containsNumber="1" minValue="918" maxValue="99060"/>
    </cacheField>
    <cacheField name="Date(dd/mm/yyyy)" numFmtId="165">
      <sharedItems containsSemiMixedTypes="0" containsNonDate="0" containsDate="1" containsString="0" minDate="2013-01-09T00:00:00" maxDate="2014-01-13T00:00:00"/>
    </cacheField>
    <cacheField name="Column1" numFmtId="0">
      <sharedItems containsSemiMixedTypes="0" containsString="0" containsNumber="1" minValue="1655.08" maxValue="1159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x v="0"/>
    <x v="0"/>
    <x v="0"/>
    <n v="10"/>
    <n v="2736"/>
    <x v="0"/>
    <n v="912"/>
    <n v="10944"/>
    <n v="0"/>
    <x v="0"/>
    <n v="10944"/>
    <n v="8208"/>
    <x v="0"/>
    <n v="3"/>
    <n v="9120"/>
    <n v="-6384"/>
    <n v="3"/>
  </r>
  <r>
    <x v="1"/>
    <x v="1"/>
    <x v="0"/>
    <x v="0"/>
    <x v="0"/>
    <n v="260"/>
    <n v="5859"/>
    <x v="0"/>
    <n v="1953"/>
    <n v="23436"/>
    <n v="0"/>
    <x v="0"/>
    <n v="23436"/>
    <n v="17577"/>
    <x v="0"/>
    <n v="3"/>
    <n v="507780"/>
    <n v="-501921"/>
    <n v="3"/>
  </r>
  <r>
    <x v="2"/>
    <x v="1"/>
    <x v="0"/>
    <x v="0"/>
    <x v="0"/>
    <n v="260"/>
    <n v="6423"/>
    <x v="0"/>
    <n v="2141"/>
    <n v="25692"/>
    <n v="0"/>
    <x v="0"/>
    <n v="25692"/>
    <n v="19269"/>
    <x v="0"/>
    <n v="3"/>
    <n v="556660"/>
    <n v="-550237"/>
    <n v="3"/>
  </r>
  <r>
    <x v="3"/>
    <x v="2"/>
    <x v="0"/>
    <x v="0"/>
    <x v="0"/>
    <n v="3"/>
    <n v="5574"/>
    <x v="0"/>
    <n v="1858"/>
    <n v="22296"/>
    <n v="222.96"/>
    <x v="1"/>
    <n v="22073.040000000001"/>
    <n v="16499.04"/>
    <x v="0"/>
    <n v="2.96"/>
    <n v="5574"/>
    <n v="0"/>
    <n v="3"/>
  </r>
  <r>
    <x v="4"/>
    <x v="1"/>
    <x v="0"/>
    <x v="0"/>
    <x v="0"/>
    <n v="260"/>
    <n v="5967"/>
    <x v="0"/>
    <n v="1989"/>
    <n v="23868"/>
    <n v="238.68"/>
    <x v="1"/>
    <n v="23629.32"/>
    <n v="17662.32"/>
    <x v="0"/>
    <n v="2.96"/>
    <n v="517140"/>
    <n v="-511173"/>
    <n v="3"/>
  </r>
  <r>
    <x v="5"/>
    <x v="3"/>
    <x v="0"/>
    <x v="0"/>
    <x v="0"/>
    <n v="5"/>
    <n v="3426"/>
    <x v="0"/>
    <n v="1142"/>
    <n v="13704"/>
    <n v="274.08"/>
    <x v="1"/>
    <n v="13429.92"/>
    <n v="10003.92"/>
    <x v="0"/>
    <n v="2.92"/>
    <n v="5710"/>
    <n v="-2284"/>
    <n v="3"/>
  </r>
  <r>
    <x v="5"/>
    <x v="0"/>
    <x v="0"/>
    <x v="0"/>
    <x v="0"/>
    <n v="10"/>
    <n v="3426"/>
    <x v="0"/>
    <n v="1142"/>
    <n v="13704"/>
    <n v="274.08"/>
    <x v="1"/>
    <n v="13429.92"/>
    <n v="10003.92"/>
    <x v="0"/>
    <n v="2.92"/>
    <n v="11420"/>
    <n v="-7994"/>
    <n v="3"/>
  </r>
  <r>
    <x v="6"/>
    <x v="2"/>
    <x v="0"/>
    <x v="0"/>
    <x v="0"/>
    <n v="3"/>
    <n v="5841"/>
    <x v="0"/>
    <n v="1947"/>
    <n v="23364"/>
    <n v="700.92"/>
    <x v="1"/>
    <n v="22663.08"/>
    <n v="16822.080000000002"/>
    <x v="0"/>
    <n v="2.8800000000000003"/>
    <n v="5841"/>
    <n v="0"/>
    <n v="3"/>
  </r>
  <r>
    <x v="7"/>
    <x v="0"/>
    <x v="0"/>
    <x v="0"/>
    <x v="0"/>
    <n v="10"/>
    <n v="4108.5"/>
    <x v="0"/>
    <n v="1369.5"/>
    <n v="16434"/>
    <n v="493.02"/>
    <x v="1"/>
    <n v="15940.98"/>
    <n v="11832.48"/>
    <x v="0"/>
    <n v="2.88"/>
    <n v="13695"/>
    <n v="-9586.5"/>
    <n v="3"/>
  </r>
  <r>
    <x v="8"/>
    <x v="4"/>
    <x v="0"/>
    <x v="0"/>
    <x v="0"/>
    <n v="120"/>
    <n v="4395"/>
    <x v="0"/>
    <n v="1465"/>
    <n v="17580"/>
    <n v="703.2"/>
    <x v="1"/>
    <n v="16876.8"/>
    <n v="12481.8"/>
    <x v="0"/>
    <n v="2.84"/>
    <n v="175800"/>
    <n v="-171405"/>
    <n v="3"/>
  </r>
  <r>
    <x v="9"/>
    <x v="3"/>
    <x v="0"/>
    <x v="0"/>
    <x v="0"/>
    <n v="5"/>
    <n v="8169"/>
    <x v="0"/>
    <n v="2723"/>
    <n v="32676"/>
    <n v="1960.56"/>
    <x v="2"/>
    <n v="30715.439999999999"/>
    <n v="22546.44"/>
    <x v="0"/>
    <n v="2.76"/>
    <n v="13615"/>
    <n v="-5446"/>
    <n v="3"/>
  </r>
  <r>
    <x v="10"/>
    <x v="5"/>
    <x v="0"/>
    <x v="0"/>
    <x v="0"/>
    <n v="250"/>
    <n v="5868"/>
    <x v="0"/>
    <n v="1956"/>
    <n v="23472"/>
    <n v="2112.48"/>
    <x v="2"/>
    <n v="21359.52"/>
    <n v="15491.52"/>
    <x v="0"/>
    <n v="2.64"/>
    <n v="489000"/>
    <n v="-483132"/>
    <n v="3"/>
  </r>
  <r>
    <x v="11"/>
    <x v="2"/>
    <x v="0"/>
    <x v="0"/>
    <x v="0"/>
    <n v="3"/>
    <n v="1158"/>
    <x v="0"/>
    <n v="386"/>
    <n v="4632"/>
    <n v="463.2"/>
    <x v="3"/>
    <n v="4168.8"/>
    <n v="3010.8"/>
    <x v="0"/>
    <n v="2.6"/>
    <n v="1158"/>
    <n v="0"/>
    <n v="3"/>
  </r>
  <r>
    <x v="11"/>
    <x v="0"/>
    <x v="0"/>
    <x v="0"/>
    <x v="0"/>
    <n v="10"/>
    <n v="1158"/>
    <x v="0"/>
    <n v="386"/>
    <n v="4632"/>
    <n v="463.2"/>
    <x v="3"/>
    <n v="4168.8"/>
    <n v="3010.8"/>
    <x v="0"/>
    <n v="2.6"/>
    <n v="3860"/>
    <n v="-2702"/>
    <n v="3"/>
  </r>
  <r>
    <x v="12"/>
    <x v="1"/>
    <x v="0"/>
    <x v="0"/>
    <x v="0"/>
    <n v="260"/>
    <n v="6045"/>
    <x v="0"/>
    <n v="2015"/>
    <n v="24180"/>
    <n v="3385.2"/>
    <x v="3"/>
    <n v="20794.8"/>
    <n v="14749.8"/>
    <x v="0"/>
    <n v="2.44"/>
    <n v="523900"/>
    <n v="-517855"/>
    <n v="3"/>
  </r>
  <r>
    <x v="13"/>
    <x v="0"/>
    <x v="0"/>
    <x v="0"/>
    <x v="0"/>
    <n v="10"/>
    <n v="8742"/>
    <x v="0"/>
    <n v="2914"/>
    <n v="34968"/>
    <n v="4895.5200000000004"/>
    <x v="3"/>
    <n v="30072.48"/>
    <n v="21330.48"/>
    <x v="0"/>
    <n v="2.44"/>
    <n v="29140"/>
    <n v="-20398"/>
    <n v="3"/>
  </r>
  <r>
    <x v="13"/>
    <x v="1"/>
    <x v="0"/>
    <x v="0"/>
    <x v="0"/>
    <n v="260"/>
    <n v="8742"/>
    <x v="0"/>
    <n v="2914"/>
    <n v="34968"/>
    <n v="4895.5200000000004"/>
    <x v="3"/>
    <n v="30072.48"/>
    <n v="21330.48"/>
    <x v="0"/>
    <n v="2.44"/>
    <n v="757640"/>
    <n v="-748898"/>
    <n v="3"/>
  </r>
  <r>
    <x v="14"/>
    <x v="0"/>
    <x v="0"/>
    <x v="0"/>
    <x v="0"/>
    <n v="10"/>
    <n v="2742"/>
    <x v="0"/>
    <n v="914"/>
    <n v="10968"/>
    <n v="1645.2"/>
    <x v="3"/>
    <n v="9322.7999999999993"/>
    <n v="6580.7999999999993"/>
    <x v="0"/>
    <n v="2.4"/>
    <n v="9140"/>
    <n v="-6398"/>
    <n v="3"/>
  </r>
  <r>
    <x v="14"/>
    <x v="4"/>
    <x v="0"/>
    <x v="0"/>
    <x v="0"/>
    <n v="120"/>
    <n v="2742"/>
    <x v="0"/>
    <n v="914"/>
    <n v="10968"/>
    <n v="1645.2"/>
    <x v="3"/>
    <n v="9322.7999999999993"/>
    <n v="6580.7999999999993"/>
    <x v="0"/>
    <n v="2.4"/>
    <n v="109680"/>
    <n v="-106938"/>
    <n v="3"/>
  </r>
  <r>
    <x v="15"/>
    <x v="5"/>
    <x v="0"/>
    <x v="0"/>
    <x v="0"/>
    <n v="250"/>
    <n v="5418"/>
    <x v="0"/>
    <n v="1806"/>
    <n v="21672"/>
    <n v="3250.8"/>
    <x v="3"/>
    <n v="18421.2"/>
    <n v="13003.2"/>
    <x v="0"/>
    <n v="2.4000000000000004"/>
    <n v="451500"/>
    <n v="-446082"/>
    <n v="3"/>
  </r>
  <r>
    <x v="9"/>
    <x v="3"/>
    <x v="0"/>
    <x v="1"/>
    <x v="0"/>
    <n v="5"/>
    <n v="2070"/>
    <x v="0"/>
    <n v="690"/>
    <n v="8280"/>
    <n v="165.6"/>
    <x v="1"/>
    <n v="8114.4"/>
    <n v="6044.4"/>
    <x v="0"/>
    <n v="2.92"/>
    <n v="3450"/>
    <n v="-1380"/>
    <n v="3"/>
  </r>
  <r>
    <x v="14"/>
    <x v="0"/>
    <x v="0"/>
    <x v="1"/>
    <x v="0"/>
    <n v="10"/>
    <n v="3252"/>
    <x v="0"/>
    <n v="1084"/>
    <n v="13008"/>
    <n v="260.16000000000003"/>
    <x v="1"/>
    <n v="12747.84"/>
    <n v="9495.84"/>
    <x v="0"/>
    <n v="2.92"/>
    <n v="10840"/>
    <n v="-7588"/>
    <n v="3"/>
  </r>
  <r>
    <x v="14"/>
    <x v="4"/>
    <x v="0"/>
    <x v="1"/>
    <x v="0"/>
    <n v="120"/>
    <n v="3252"/>
    <x v="0"/>
    <n v="1084"/>
    <n v="13008"/>
    <n v="260.16000000000003"/>
    <x v="1"/>
    <n v="12747.84"/>
    <n v="9495.84"/>
    <x v="0"/>
    <n v="2.92"/>
    <n v="130080"/>
    <n v="-126828"/>
    <n v="3"/>
  </r>
  <r>
    <x v="1"/>
    <x v="5"/>
    <x v="0"/>
    <x v="1"/>
    <x v="0"/>
    <n v="250"/>
    <n v="5748"/>
    <x v="0"/>
    <n v="1916"/>
    <n v="22992"/>
    <n v="689.76"/>
    <x v="1"/>
    <n v="22302.240000000002"/>
    <n v="16554.240000000002"/>
    <x v="0"/>
    <n v="2.8800000000000003"/>
    <n v="479000"/>
    <n v="-473252"/>
    <n v="3"/>
  </r>
  <r>
    <x v="2"/>
    <x v="1"/>
    <x v="0"/>
    <x v="1"/>
    <x v="0"/>
    <n v="260"/>
    <n v="3369"/>
    <x v="0"/>
    <n v="1123"/>
    <n v="13476"/>
    <n v="673.8"/>
    <x v="2"/>
    <n v="12802.2"/>
    <n v="9433.2000000000007"/>
    <x v="0"/>
    <n v="2.8000000000000003"/>
    <n v="291980"/>
    <n v="-288611"/>
    <n v="3"/>
  </r>
  <r>
    <x v="6"/>
    <x v="2"/>
    <x v="0"/>
    <x v="1"/>
    <x v="0"/>
    <n v="3"/>
    <n v="1686"/>
    <x v="0"/>
    <n v="562"/>
    <n v="6744"/>
    <n v="404.64"/>
    <x v="2"/>
    <n v="6339.36"/>
    <n v="4653.3599999999997"/>
    <x v="0"/>
    <n v="2.76"/>
    <n v="1686"/>
    <n v="0"/>
    <n v="3"/>
  </r>
  <r>
    <x v="3"/>
    <x v="2"/>
    <x v="0"/>
    <x v="1"/>
    <x v="0"/>
    <n v="3"/>
    <n v="2181"/>
    <x v="0"/>
    <n v="727"/>
    <n v="8724"/>
    <n v="610.67999999999995"/>
    <x v="2"/>
    <n v="8113.32"/>
    <n v="5932.32"/>
    <x v="0"/>
    <n v="2.7199999999999998"/>
    <n v="2181"/>
    <n v="0"/>
    <n v="3"/>
  </r>
  <r>
    <x v="10"/>
    <x v="3"/>
    <x v="0"/>
    <x v="1"/>
    <x v="0"/>
    <n v="5"/>
    <n v="7020"/>
    <x v="0"/>
    <n v="2340"/>
    <n v="28080"/>
    <n v="1965.6"/>
    <x v="2"/>
    <n v="26114.400000000001"/>
    <n v="19094.400000000001"/>
    <x v="0"/>
    <n v="2.72"/>
    <n v="11700"/>
    <n v="-4680"/>
    <n v="3"/>
  </r>
  <r>
    <x v="0"/>
    <x v="0"/>
    <x v="0"/>
    <x v="1"/>
    <x v="0"/>
    <n v="10"/>
    <n v="8289"/>
    <x v="0"/>
    <n v="2763"/>
    <n v="33156"/>
    <n v="2320.92"/>
    <x v="2"/>
    <n v="30835.08"/>
    <n v="22546.080000000002"/>
    <x v="0"/>
    <n v="2.72"/>
    <n v="27630"/>
    <n v="-19341"/>
    <n v="3"/>
  </r>
  <r>
    <x v="12"/>
    <x v="1"/>
    <x v="0"/>
    <x v="1"/>
    <x v="0"/>
    <n v="260"/>
    <n v="4125"/>
    <x v="0"/>
    <n v="1375"/>
    <n v="16500"/>
    <n v="1320"/>
    <x v="2"/>
    <n v="15180"/>
    <n v="11055"/>
    <x v="0"/>
    <n v="2.68"/>
    <n v="357500"/>
    <n v="-353375"/>
    <n v="3"/>
  </r>
  <r>
    <x v="11"/>
    <x v="2"/>
    <x v="0"/>
    <x v="1"/>
    <x v="0"/>
    <n v="3"/>
    <n v="1101"/>
    <x v="0"/>
    <n v="367"/>
    <n v="4404"/>
    <n v="396.36"/>
    <x v="2"/>
    <n v="4007.64"/>
    <n v="2906.64"/>
    <x v="0"/>
    <n v="2.6399999999999997"/>
    <n v="1101"/>
    <n v="0"/>
    <n v="3"/>
  </r>
  <r>
    <x v="11"/>
    <x v="0"/>
    <x v="0"/>
    <x v="1"/>
    <x v="0"/>
    <n v="10"/>
    <n v="1101"/>
    <x v="0"/>
    <n v="367"/>
    <n v="4404"/>
    <n v="396.36"/>
    <x v="2"/>
    <n v="4007.64"/>
    <n v="2906.64"/>
    <x v="0"/>
    <n v="2.6399999999999997"/>
    <n v="3670"/>
    <n v="-2569"/>
    <n v="3"/>
  </r>
  <r>
    <x v="4"/>
    <x v="5"/>
    <x v="0"/>
    <x v="1"/>
    <x v="0"/>
    <n v="250"/>
    <n v="3015"/>
    <x v="0"/>
    <n v="1005"/>
    <n v="12060"/>
    <n v="1326.6"/>
    <x v="3"/>
    <n v="10733.4"/>
    <n v="7718.4"/>
    <x v="0"/>
    <n v="2.56"/>
    <n v="251250"/>
    <n v="-248235"/>
    <n v="3"/>
  </r>
  <r>
    <x v="15"/>
    <x v="3"/>
    <x v="0"/>
    <x v="1"/>
    <x v="0"/>
    <n v="5"/>
    <n v="7983"/>
    <x v="0"/>
    <n v="2661"/>
    <n v="31932"/>
    <n v="3831.84"/>
    <x v="3"/>
    <n v="28100.16"/>
    <n v="20117.16"/>
    <x v="0"/>
    <n v="2.52"/>
    <n v="13305"/>
    <n v="-5322"/>
    <n v="3"/>
  </r>
  <r>
    <x v="5"/>
    <x v="3"/>
    <x v="0"/>
    <x v="1"/>
    <x v="0"/>
    <n v="5"/>
    <n v="1812"/>
    <x v="0"/>
    <n v="604"/>
    <n v="7248"/>
    <n v="942.24"/>
    <x v="3"/>
    <n v="6305.76"/>
    <n v="4493.76"/>
    <x v="0"/>
    <n v="2.48"/>
    <n v="3020"/>
    <n v="-1208"/>
    <n v="3"/>
  </r>
  <r>
    <x v="7"/>
    <x v="0"/>
    <x v="0"/>
    <x v="1"/>
    <x v="0"/>
    <n v="10"/>
    <n v="1713"/>
    <x v="0"/>
    <n v="571"/>
    <n v="6852"/>
    <n v="890.76"/>
    <x v="3"/>
    <n v="5961.24"/>
    <n v="4248.24"/>
    <x v="0"/>
    <n v="2.48"/>
    <n v="5710"/>
    <n v="-3997"/>
    <n v="3"/>
  </r>
  <r>
    <x v="5"/>
    <x v="4"/>
    <x v="0"/>
    <x v="1"/>
    <x v="0"/>
    <n v="120"/>
    <n v="1812"/>
    <x v="0"/>
    <n v="604"/>
    <n v="7248"/>
    <n v="942.24"/>
    <x v="3"/>
    <n v="6305.76"/>
    <n v="4493.76"/>
    <x v="0"/>
    <n v="2.48"/>
    <n v="72480"/>
    <n v="-70668"/>
    <n v="3"/>
  </r>
  <r>
    <x v="13"/>
    <x v="4"/>
    <x v="0"/>
    <x v="1"/>
    <x v="0"/>
    <n v="120"/>
    <n v="1230"/>
    <x v="0"/>
    <n v="410"/>
    <n v="4920"/>
    <n v="639.6"/>
    <x v="3"/>
    <n v="4280.3999999999996"/>
    <n v="3050.3999999999996"/>
    <x v="0"/>
    <n v="2.4799999999999995"/>
    <n v="49200"/>
    <n v="-47970"/>
    <n v="3"/>
  </r>
  <r>
    <x v="13"/>
    <x v="1"/>
    <x v="0"/>
    <x v="1"/>
    <x v="0"/>
    <n v="260"/>
    <n v="1230"/>
    <x v="0"/>
    <n v="410"/>
    <n v="4920"/>
    <n v="639.6"/>
    <x v="3"/>
    <n v="4280.3999999999996"/>
    <n v="3050.3999999999996"/>
    <x v="0"/>
    <n v="2.4799999999999995"/>
    <n v="106600"/>
    <n v="-105370"/>
    <n v="3"/>
  </r>
  <r>
    <x v="8"/>
    <x v="4"/>
    <x v="0"/>
    <x v="1"/>
    <x v="0"/>
    <n v="120"/>
    <n v="1500"/>
    <x v="0"/>
    <n v="500"/>
    <n v="6000"/>
    <n v="900"/>
    <x v="3"/>
    <n v="5100"/>
    <n v="3600"/>
    <x v="0"/>
    <n v="2.4"/>
    <n v="60000"/>
    <n v="-58500"/>
    <n v="3"/>
  </r>
  <r>
    <x v="5"/>
    <x v="3"/>
    <x v="0"/>
    <x v="2"/>
    <x v="1"/>
    <n v="5"/>
    <n v="4635"/>
    <x v="0"/>
    <n v="1545"/>
    <n v="18540"/>
    <n v="0"/>
    <x v="0"/>
    <n v="18540"/>
    <n v="13905"/>
    <x v="0"/>
    <n v="3"/>
    <n v="7725"/>
    <n v="-3090"/>
    <n v="3"/>
  </r>
  <r>
    <x v="7"/>
    <x v="0"/>
    <x v="0"/>
    <x v="2"/>
    <x v="1"/>
    <n v="10"/>
    <n v="1101"/>
    <x v="0"/>
    <n v="367"/>
    <n v="4404"/>
    <n v="0"/>
    <x v="0"/>
    <n v="4404"/>
    <n v="3303"/>
    <x v="0"/>
    <n v="3"/>
    <n v="3670"/>
    <n v="-2569"/>
    <n v="3"/>
  </r>
  <r>
    <x v="8"/>
    <x v="4"/>
    <x v="0"/>
    <x v="2"/>
    <x v="1"/>
    <n v="120"/>
    <n v="6483"/>
    <x v="0"/>
    <n v="2161"/>
    <n v="25932"/>
    <n v="0"/>
    <x v="0"/>
    <n v="25932"/>
    <n v="19449"/>
    <x v="0"/>
    <n v="3"/>
    <n v="259320"/>
    <n v="-252837"/>
    <n v="3"/>
  </r>
  <r>
    <x v="5"/>
    <x v="4"/>
    <x v="0"/>
    <x v="2"/>
    <x v="1"/>
    <n v="120"/>
    <n v="4635"/>
    <x v="0"/>
    <n v="1545"/>
    <n v="18540"/>
    <n v="0"/>
    <x v="0"/>
    <n v="18540"/>
    <n v="13905"/>
    <x v="0"/>
    <n v="3"/>
    <n v="185400"/>
    <n v="-180765"/>
    <n v="3"/>
  </r>
  <r>
    <x v="1"/>
    <x v="5"/>
    <x v="0"/>
    <x v="2"/>
    <x v="1"/>
    <n v="250"/>
    <n v="8514"/>
    <x v="0"/>
    <n v="2838"/>
    <n v="34056"/>
    <n v="0"/>
    <x v="0"/>
    <n v="34056"/>
    <n v="25542"/>
    <x v="0"/>
    <n v="3"/>
    <n v="709500"/>
    <n v="-700986"/>
    <n v="3"/>
  </r>
  <r>
    <x v="11"/>
    <x v="2"/>
    <x v="0"/>
    <x v="2"/>
    <x v="1"/>
    <n v="3"/>
    <n v="2298"/>
    <x v="0"/>
    <n v="766"/>
    <n v="9192"/>
    <n v="91.92"/>
    <x v="1"/>
    <n v="9100.08"/>
    <n v="6802.08"/>
    <x v="0"/>
    <n v="2.96"/>
    <n v="2298"/>
    <n v="0"/>
    <n v="3"/>
  </r>
  <r>
    <x v="11"/>
    <x v="0"/>
    <x v="0"/>
    <x v="2"/>
    <x v="1"/>
    <n v="10"/>
    <n v="2298"/>
    <x v="0"/>
    <n v="766"/>
    <n v="9192"/>
    <n v="91.92"/>
    <x v="1"/>
    <n v="9100.08"/>
    <n v="6802.08"/>
    <x v="0"/>
    <n v="2.96"/>
    <n v="7660"/>
    <n v="-5362"/>
    <n v="3"/>
  </r>
  <r>
    <x v="10"/>
    <x v="5"/>
    <x v="0"/>
    <x v="2"/>
    <x v="1"/>
    <n v="250"/>
    <n v="7437"/>
    <x v="0"/>
    <n v="2479"/>
    <n v="29748"/>
    <n v="892.44"/>
    <x v="1"/>
    <n v="28855.56"/>
    <n v="21418.560000000001"/>
    <x v="0"/>
    <n v="2.8800000000000003"/>
    <n v="619750"/>
    <n v="-612313"/>
    <n v="3"/>
  </r>
  <r>
    <x v="3"/>
    <x v="2"/>
    <x v="0"/>
    <x v="2"/>
    <x v="1"/>
    <n v="3"/>
    <n v="3348"/>
    <x v="0"/>
    <n v="1116"/>
    <n v="13392"/>
    <n v="669.6"/>
    <x v="2"/>
    <n v="12722.4"/>
    <n v="9374.4"/>
    <x v="0"/>
    <n v="2.8"/>
    <n v="3348"/>
    <n v="0"/>
    <n v="3"/>
  </r>
  <r>
    <x v="9"/>
    <x v="3"/>
    <x v="0"/>
    <x v="2"/>
    <x v="1"/>
    <n v="5"/>
    <n v="7026"/>
    <x v="0"/>
    <n v="2342"/>
    <n v="28104"/>
    <n v="1405.2"/>
    <x v="2"/>
    <n v="26698.799999999999"/>
    <n v="19672.8"/>
    <x v="0"/>
    <n v="2.8"/>
    <n v="11710"/>
    <n v="-4684"/>
    <n v="3"/>
  </r>
  <r>
    <x v="4"/>
    <x v="5"/>
    <x v="0"/>
    <x v="2"/>
    <x v="1"/>
    <n v="250"/>
    <n v="6645"/>
    <x v="0"/>
    <n v="2215"/>
    <n v="26580"/>
    <n v="1860.6"/>
    <x v="2"/>
    <n v="24719.4"/>
    <n v="18074.400000000001"/>
    <x v="0"/>
    <n v="2.72"/>
    <n v="553750"/>
    <n v="-547105"/>
    <n v="3"/>
  </r>
  <r>
    <x v="0"/>
    <x v="0"/>
    <x v="0"/>
    <x v="2"/>
    <x v="1"/>
    <n v="10"/>
    <n v="5325"/>
    <x v="0"/>
    <n v="1775"/>
    <n v="21300"/>
    <n v="1917"/>
    <x v="2"/>
    <n v="19383"/>
    <n v="14058"/>
    <x v="0"/>
    <n v="2.64"/>
    <n v="17750"/>
    <n v="-12425"/>
    <n v="3"/>
  </r>
  <r>
    <x v="15"/>
    <x v="5"/>
    <x v="0"/>
    <x v="2"/>
    <x v="1"/>
    <n v="250"/>
    <n v="2640"/>
    <x v="0"/>
    <n v="880"/>
    <n v="10560"/>
    <n v="950.4"/>
    <x v="2"/>
    <n v="9609.6"/>
    <n v="6969.6"/>
    <x v="0"/>
    <n v="2.64"/>
    <n v="220000"/>
    <n v="-217360"/>
    <n v="3"/>
  </r>
  <r>
    <x v="6"/>
    <x v="2"/>
    <x v="0"/>
    <x v="2"/>
    <x v="1"/>
    <n v="3"/>
    <n v="4740"/>
    <x v="0"/>
    <n v="1580"/>
    <n v="18960"/>
    <n v="1706.4"/>
    <x v="2"/>
    <n v="17253.599999999999"/>
    <n v="12513.599999999999"/>
    <x v="0"/>
    <n v="2.6399999999999997"/>
    <n v="4740"/>
    <n v="0"/>
    <n v="3"/>
  </r>
  <r>
    <x v="2"/>
    <x v="1"/>
    <x v="0"/>
    <x v="2"/>
    <x v="1"/>
    <n v="260"/>
    <n v="7722"/>
    <x v="0"/>
    <n v="2574"/>
    <n v="30888"/>
    <n v="3088.8"/>
    <x v="3"/>
    <n v="27799.200000000001"/>
    <n v="20077.2"/>
    <x v="0"/>
    <n v="2.6"/>
    <n v="669240"/>
    <n v="-661518"/>
    <n v="3"/>
  </r>
  <r>
    <x v="13"/>
    <x v="4"/>
    <x v="0"/>
    <x v="2"/>
    <x v="1"/>
    <n v="120"/>
    <n v="1416"/>
    <x v="0"/>
    <n v="472"/>
    <n v="5664"/>
    <n v="623.04"/>
    <x v="3"/>
    <n v="5040.96"/>
    <n v="3624.96"/>
    <x v="0"/>
    <n v="2.56"/>
    <n v="56640"/>
    <n v="-55224"/>
    <n v="3"/>
  </r>
  <r>
    <x v="13"/>
    <x v="1"/>
    <x v="0"/>
    <x v="2"/>
    <x v="1"/>
    <n v="260"/>
    <n v="1416"/>
    <x v="0"/>
    <n v="472"/>
    <n v="5664"/>
    <n v="623.04"/>
    <x v="3"/>
    <n v="5040.96"/>
    <n v="3624.96"/>
    <x v="0"/>
    <n v="2.56"/>
    <n v="122720"/>
    <n v="-121304"/>
    <n v="3"/>
  </r>
  <r>
    <x v="14"/>
    <x v="0"/>
    <x v="0"/>
    <x v="2"/>
    <x v="1"/>
    <n v="10"/>
    <n v="3039"/>
    <x v="0"/>
    <n v="1013"/>
    <n v="12156"/>
    <n v="1580.28"/>
    <x v="3"/>
    <n v="10575.72"/>
    <n v="7536.7199999999993"/>
    <x v="0"/>
    <n v="2.48"/>
    <n v="10130"/>
    <n v="-7091"/>
    <n v="3"/>
  </r>
  <r>
    <x v="14"/>
    <x v="4"/>
    <x v="0"/>
    <x v="2"/>
    <x v="1"/>
    <n v="120"/>
    <n v="3039"/>
    <x v="0"/>
    <n v="1013"/>
    <n v="12156"/>
    <n v="1580.28"/>
    <x v="3"/>
    <n v="10575.72"/>
    <n v="7536.7199999999993"/>
    <x v="0"/>
    <n v="2.48"/>
    <n v="121560"/>
    <n v="-118521"/>
    <n v="3"/>
  </r>
  <r>
    <x v="12"/>
    <x v="1"/>
    <x v="0"/>
    <x v="2"/>
    <x v="1"/>
    <n v="260"/>
    <n v="5310"/>
    <x v="0"/>
    <n v="1770"/>
    <n v="21240"/>
    <n v="2761.2"/>
    <x v="3"/>
    <n v="18478.8"/>
    <n v="13168.8"/>
    <x v="0"/>
    <n v="2.48"/>
    <n v="460200"/>
    <n v="-454890"/>
    <n v="3"/>
  </r>
  <r>
    <x v="6"/>
    <x v="2"/>
    <x v="0"/>
    <x v="3"/>
    <x v="1"/>
    <n v="3"/>
    <n v="8013"/>
    <x v="0"/>
    <n v="2671"/>
    <n v="32052"/>
    <n v="320.52"/>
    <x v="1"/>
    <n v="31731.48"/>
    <n v="23718.48"/>
    <x v="0"/>
    <n v="2.96"/>
    <n v="8013"/>
    <n v="0"/>
    <n v="3"/>
  </r>
  <r>
    <x v="0"/>
    <x v="0"/>
    <x v="0"/>
    <x v="3"/>
    <x v="1"/>
    <n v="10"/>
    <n v="5355"/>
    <x v="0"/>
    <n v="1785"/>
    <n v="21420"/>
    <n v="428.4"/>
    <x v="1"/>
    <n v="20991.599999999999"/>
    <n v="15636.599999999999"/>
    <x v="0"/>
    <n v="2.92"/>
    <n v="17850"/>
    <n v="-12495"/>
    <n v="3"/>
  </r>
  <r>
    <x v="14"/>
    <x v="0"/>
    <x v="0"/>
    <x v="3"/>
    <x v="1"/>
    <n v="10"/>
    <n v="3165"/>
    <x v="0"/>
    <n v="1055"/>
    <n v="12660"/>
    <n v="253.2"/>
    <x v="1"/>
    <n v="12406.8"/>
    <n v="9241.7999999999993"/>
    <x v="0"/>
    <n v="2.92"/>
    <n v="10550"/>
    <n v="-7385"/>
    <n v="3"/>
  </r>
  <r>
    <x v="14"/>
    <x v="4"/>
    <x v="0"/>
    <x v="3"/>
    <x v="1"/>
    <n v="120"/>
    <n v="3165"/>
    <x v="0"/>
    <n v="1055"/>
    <n v="12660"/>
    <n v="253.2"/>
    <x v="1"/>
    <n v="12406.8"/>
    <n v="9241.7999999999993"/>
    <x v="0"/>
    <n v="2.92"/>
    <n v="126600"/>
    <n v="-123435"/>
    <n v="3"/>
  </r>
  <r>
    <x v="5"/>
    <x v="3"/>
    <x v="0"/>
    <x v="3"/>
    <x v="1"/>
    <n v="5"/>
    <n v="5703"/>
    <x v="0"/>
    <n v="1901"/>
    <n v="22812"/>
    <n v="684.36"/>
    <x v="1"/>
    <n v="22127.64"/>
    <n v="16424.64"/>
    <x v="0"/>
    <n v="2.88"/>
    <n v="9505"/>
    <n v="-3802"/>
    <n v="3"/>
  </r>
  <r>
    <x v="5"/>
    <x v="0"/>
    <x v="0"/>
    <x v="3"/>
    <x v="1"/>
    <n v="10"/>
    <n v="5703"/>
    <x v="0"/>
    <n v="1901"/>
    <n v="22812"/>
    <n v="684.36"/>
    <x v="1"/>
    <n v="22127.64"/>
    <n v="16424.64"/>
    <x v="0"/>
    <n v="2.88"/>
    <n v="19010"/>
    <n v="-13307"/>
    <n v="3"/>
  </r>
  <r>
    <x v="15"/>
    <x v="5"/>
    <x v="0"/>
    <x v="3"/>
    <x v="1"/>
    <n v="250"/>
    <n v="2598"/>
    <x v="0"/>
    <n v="866"/>
    <n v="10392"/>
    <n v="415.68"/>
    <x v="1"/>
    <n v="9976.32"/>
    <n v="7378.32"/>
    <x v="0"/>
    <n v="2.84"/>
    <n v="216500"/>
    <n v="-213902"/>
    <n v="3"/>
  </r>
  <r>
    <x v="3"/>
    <x v="2"/>
    <x v="0"/>
    <x v="3"/>
    <x v="1"/>
    <n v="3"/>
    <n v="5595"/>
    <x v="0"/>
    <n v="1865"/>
    <n v="22380"/>
    <n v="1119"/>
    <x v="2"/>
    <n v="21261"/>
    <n v="15666"/>
    <x v="0"/>
    <n v="2.8"/>
    <n v="5595"/>
    <n v="0"/>
    <n v="3"/>
  </r>
  <r>
    <x v="9"/>
    <x v="3"/>
    <x v="0"/>
    <x v="3"/>
    <x v="1"/>
    <n v="5"/>
    <n v="7026"/>
    <x v="0"/>
    <n v="2342"/>
    <n v="28104"/>
    <n v="1967.28"/>
    <x v="2"/>
    <n v="26136.720000000001"/>
    <n v="19110.72"/>
    <x v="0"/>
    <n v="2.72"/>
    <n v="11710"/>
    <n v="-4684"/>
    <n v="3"/>
  </r>
  <r>
    <x v="1"/>
    <x v="5"/>
    <x v="0"/>
    <x v="3"/>
    <x v="1"/>
    <n v="250"/>
    <n v="5215.5"/>
    <x v="0"/>
    <n v="1738.5"/>
    <n v="20862"/>
    <n v="1460.34"/>
    <x v="2"/>
    <n v="19401.66"/>
    <n v="14186.16"/>
    <x v="0"/>
    <n v="2.7199999999999998"/>
    <n v="434625"/>
    <n v="-429409.5"/>
    <n v="3"/>
  </r>
  <r>
    <x v="4"/>
    <x v="5"/>
    <x v="0"/>
    <x v="3"/>
    <x v="1"/>
    <n v="250"/>
    <n v="6702"/>
    <x v="0"/>
    <n v="2234"/>
    <n v="26808"/>
    <n v="2412.7199999999998"/>
    <x v="2"/>
    <n v="24395.279999999999"/>
    <n v="17693.28"/>
    <x v="0"/>
    <n v="2.6399999999999997"/>
    <n v="558500"/>
    <n v="-551798"/>
    <n v="3"/>
  </r>
  <r>
    <x v="8"/>
    <x v="4"/>
    <x v="0"/>
    <x v="3"/>
    <x v="1"/>
    <n v="120"/>
    <n v="5901"/>
    <x v="0"/>
    <n v="1967"/>
    <n v="23604"/>
    <n v="2124.36"/>
    <x v="2"/>
    <n v="21479.64"/>
    <n v="15578.64"/>
    <x v="0"/>
    <n v="2.6399999999999997"/>
    <n v="236040"/>
    <n v="-230139"/>
    <n v="3"/>
  </r>
  <r>
    <x v="12"/>
    <x v="1"/>
    <x v="0"/>
    <x v="3"/>
    <x v="1"/>
    <n v="260"/>
    <n v="918"/>
    <x v="0"/>
    <n v="306"/>
    <n v="3672"/>
    <n v="330.48"/>
    <x v="2"/>
    <n v="3341.52"/>
    <n v="2423.52"/>
    <x v="0"/>
    <n v="2.64"/>
    <n v="79560"/>
    <n v="-78642"/>
    <n v="3"/>
  </r>
  <r>
    <x v="11"/>
    <x v="2"/>
    <x v="0"/>
    <x v="3"/>
    <x v="1"/>
    <n v="3"/>
    <n v="3594"/>
    <x v="0"/>
    <n v="1198"/>
    <n v="14376"/>
    <n v="1581.36"/>
    <x v="3"/>
    <n v="12794.64"/>
    <n v="9200.64"/>
    <x v="0"/>
    <n v="2.56"/>
    <n v="3594"/>
    <n v="0"/>
    <n v="3"/>
  </r>
  <r>
    <x v="11"/>
    <x v="0"/>
    <x v="0"/>
    <x v="3"/>
    <x v="1"/>
    <n v="10"/>
    <n v="3594"/>
    <x v="0"/>
    <n v="1198"/>
    <n v="14376"/>
    <n v="1581.36"/>
    <x v="3"/>
    <n v="12794.64"/>
    <n v="9200.64"/>
    <x v="0"/>
    <n v="2.56"/>
    <n v="11980"/>
    <n v="-8386"/>
    <n v="3"/>
  </r>
  <r>
    <x v="7"/>
    <x v="0"/>
    <x v="0"/>
    <x v="3"/>
    <x v="1"/>
    <n v="10"/>
    <n v="7276.5"/>
    <x v="0"/>
    <n v="2425.5"/>
    <n v="29106"/>
    <n v="3201.66"/>
    <x v="3"/>
    <n v="25904.34"/>
    <n v="18627.84"/>
    <x v="0"/>
    <n v="2.56"/>
    <n v="24255"/>
    <n v="-16978.5"/>
    <n v="3"/>
  </r>
  <r>
    <x v="10"/>
    <x v="5"/>
    <x v="0"/>
    <x v="3"/>
    <x v="1"/>
    <n v="250"/>
    <n v="5202"/>
    <x v="0"/>
    <n v="1734"/>
    <n v="20808"/>
    <n v="2288.88"/>
    <x v="3"/>
    <n v="18519.12"/>
    <n v="13317.119999999999"/>
    <x v="0"/>
    <n v="2.5599999999999996"/>
    <n v="433500"/>
    <n v="-428298"/>
    <n v="3"/>
  </r>
  <r>
    <x v="13"/>
    <x v="0"/>
    <x v="0"/>
    <x v="3"/>
    <x v="1"/>
    <n v="10"/>
    <n v="4179"/>
    <x v="0"/>
    <n v="1393"/>
    <n v="16716"/>
    <n v="2340.2399999999998"/>
    <x v="3"/>
    <n v="14375.76"/>
    <n v="10196.76"/>
    <x v="0"/>
    <n v="2.44"/>
    <n v="13930"/>
    <n v="-9751"/>
    <n v="3"/>
  </r>
  <r>
    <x v="13"/>
    <x v="1"/>
    <x v="0"/>
    <x v="3"/>
    <x v="1"/>
    <n v="260"/>
    <n v="4179"/>
    <x v="0"/>
    <n v="1393"/>
    <n v="16716"/>
    <n v="2340.2399999999998"/>
    <x v="3"/>
    <n v="14375.76"/>
    <n v="10196.76"/>
    <x v="0"/>
    <n v="2.44"/>
    <n v="362180"/>
    <n v="-358001"/>
    <n v="3"/>
  </r>
  <r>
    <x v="2"/>
    <x v="1"/>
    <x v="0"/>
    <x v="3"/>
    <x v="1"/>
    <n v="260"/>
    <n v="7425"/>
    <x v="0"/>
    <n v="2475"/>
    <n v="29700"/>
    <n v="4158"/>
    <x v="3"/>
    <n v="25542"/>
    <n v="18117"/>
    <x v="0"/>
    <n v="2.44"/>
    <n v="643500"/>
    <n v="-636075"/>
    <n v="3"/>
  </r>
  <r>
    <x v="5"/>
    <x v="3"/>
    <x v="0"/>
    <x v="4"/>
    <x v="0"/>
    <n v="5"/>
    <n v="7554"/>
    <x v="0"/>
    <n v="2518"/>
    <n v="30216"/>
    <n v="0"/>
    <x v="0"/>
    <n v="30216"/>
    <n v="22662"/>
    <x v="0"/>
    <n v="3"/>
    <n v="12590"/>
    <n v="-5036"/>
    <n v="3"/>
  </r>
  <r>
    <x v="5"/>
    <x v="0"/>
    <x v="0"/>
    <x v="4"/>
    <x v="0"/>
    <n v="10"/>
    <n v="7554"/>
    <x v="0"/>
    <n v="2518"/>
    <n v="30216"/>
    <n v="0"/>
    <x v="0"/>
    <n v="30216"/>
    <n v="22662"/>
    <x v="0"/>
    <n v="3"/>
    <n v="25180"/>
    <n v="-17626"/>
    <n v="3"/>
  </r>
  <r>
    <x v="6"/>
    <x v="2"/>
    <x v="0"/>
    <x v="4"/>
    <x v="0"/>
    <n v="3"/>
    <n v="4335"/>
    <x v="0"/>
    <n v="1445"/>
    <n v="17340"/>
    <n v="173.4"/>
    <x v="1"/>
    <n v="17166.599999999999"/>
    <n v="12831.599999999999"/>
    <x v="0"/>
    <n v="2.9599999999999995"/>
    <n v="4335"/>
    <n v="0"/>
    <n v="3"/>
  </r>
  <r>
    <x v="13"/>
    <x v="2"/>
    <x v="0"/>
    <x v="4"/>
    <x v="0"/>
    <n v="3"/>
    <n v="3885"/>
    <x v="0"/>
    <n v="1295"/>
    <n v="15540"/>
    <n v="310.8"/>
    <x v="1"/>
    <n v="15229.2"/>
    <n v="11344.2"/>
    <x v="0"/>
    <n v="2.9200000000000004"/>
    <n v="3885"/>
    <n v="0"/>
    <n v="3"/>
  </r>
  <r>
    <x v="13"/>
    <x v="0"/>
    <x v="0"/>
    <x v="4"/>
    <x v="0"/>
    <n v="10"/>
    <n v="3885"/>
    <x v="0"/>
    <n v="1295"/>
    <n v="15540"/>
    <n v="310.8"/>
    <x v="1"/>
    <n v="15229.2"/>
    <n v="11344.2"/>
    <x v="0"/>
    <n v="2.9200000000000004"/>
    <n v="12950"/>
    <n v="-9065"/>
    <n v="3"/>
  </r>
  <r>
    <x v="12"/>
    <x v="2"/>
    <x v="0"/>
    <x v="4"/>
    <x v="0"/>
    <n v="3"/>
    <n v="2724"/>
    <x v="0"/>
    <n v="908"/>
    <n v="10896"/>
    <n v="326.88"/>
    <x v="1"/>
    <n v="10569.12"/>
    <n v="7845.1200000000008"/>
    <x v="0"/>
    <n v="2.8800000000000003"/>
    <n v="2724"/>
    <n v="0"/>
    <n v="3"/>
  </r>
  <r>
    <x v="14"/>
    <x v="0"/>
    <x v="0"/>
    <x v="4"/>
    <x v="0"/>
    <n v="10"/>
    <n v="7293"/>
    <x v="0"/>
    <n v="2431"/>
    <n v="29172"/>
    <n v="1458.6"/>
    <x v="2"/>
    <n v="27713.4"/>
    <n v="20420.400000000001"/>
    <x v="0"/>
    <n v="2.8000000000000003"/>
    <n v="24310"/>
    <n v="-17017"/>
    <n v="3"/>
  </r>
  <r>
    <x v="14"/>
    <x v="4"/>
    <x v="0"/>
    <x v="4"/>
    <x v="0"/>
    <n v="120"/>
    <n v="7293"/>
    <x v="0"/>
    <n v="2431"/>
    <n v="29172"/>
    <n v="1458.6"/>
    <x v="2"/>
    <n v="27713.4"/>
    <n v="20420.400000000001"/>
    <x v="0"/>
    <n v="2.8000000000000003"/>
    <n v="291720"/>
    <n v="-284427"/>
    <n v="3"/>
  </r>
  <r>
    <x v="11"/>
    <x v="2"/>
    <x v="0"/>
    <x v="4"/>
    <x v="0"/>
    <n v="3"/>
    <n v="6897"/>
    <x v="0"/>
    <n v="2299"/>
    <n v="27588"/>
    <n v="1655.28"/>
    <x v="2"/>
    <n v="25932.720000000001"/>
    <n v="19035.72"/>
    <x v="0"/>
    <n v="2.7600000000000002"/>
    <n v="6897"/>
    <n v="0"/>
    <n v="3"/>
  </r>
  <r>
    <x v="11"/>
    <x v="0"/>
    <x v="0"/>
    <x v="4"/>
    <x v="0"/>
    <n v="10"/>
    <n v="6897"/>
    <x v="0"/>
    <n v="2299"/>
    <n v="27588"/>
    <n v="1655.28"/>
    <x v="2"/>
    <n v="25932.720000000001"/>
    <n v="19035.72"/>
    <x v="0"/>
    <n v="2.7600000000000002"/>
    <n v="22990"/>
    <n v="-16093"/>
    <n v="3"/>
  </r>
  <r>
    <x v="2"/>
    <x v="2"/>
    <x v="0"/>
    <x v="4"/>
    <x v="0"/>
    <n v="3"/>
    <n v="5652"/>
    <x v="0"/>
    <n v="1884"/>
    <n v="22608"/>
    <n v="1582.56"/>
    <x v="2"/>
    <n v="21025.439999999999"/>
    <n v="15373.439999999999"/>
    <x v="0"/>
    <n v="2.7199999999999998"/>
    <n v="5652"/>
    <n v="0"/>
    <n v="3"/>
  </r>
  <r>
    <x v="10"/>
    <x v="5"/>
    <x v="0"/>
    <x v="4"/>
    <x v="0"/>
    <n v="250"/>
    <n v="9733.5"/>
    <x v="0"/>
    <n v="3244.5"/>
    <n v="38934"/>
    <n v="2725.38"/>
    <x v="2"/>
    <n v="36208.620000000003"/>
    <n v="26475.120000000003"/>
    <x v="0"/>
    <n v="2.72"/>
    <n v="811125"/>
    <n v="-801391.5"/>
    <n v="3"/>
  </r>
  <r>
    <x v="8"/>
    <x v="4"/>
    <x v="0"/>
    <x v="4"/>
    <x v="0"/>
    <n v="120"/>
    <n v="1794"/>
    <x v="0"/>
    <n v="598"/>
    <n v="7176"/>
    <n v="574.08000000000004"/>
    <x v="2"/>
    <n v="6601.92"/>
    <n v="4807.92"/>
    <x v="0"/>
    <n v="2.68"/>
    <n v="71760"/>
    <n v="-69966"/>
    <n v="3"/>
  </r>
  <r>
    <x v="9"/>
    <x v="3"/>
    <x v="0"/>
    <x v="4"/>
    <x v="0"/>
    <n v="5"/>
    <n v="6963"/>
    <x v="0"/>
    <n v="2321"/>
    <n v="27852"/>
    <n v="2506.6799999999998"/>
    <x v="2"/>
    <n v="25345.32"/>
    <n v="18382.32"/>
    <x v="0"/>
    <n v="2.64"/>
    <n v="11605"/>
    <n v="-4642"/>
    <n v="3"/>
  </r>
  <r>
    <x v="1"/>
    <x v="1"/>
    <x v="0"/>
    <x v="4"/>
    <x v="0"/>
    <n v="260"/>
    <n v="10561.5"/>
    <x v="0"/>
    <n v="3520.5"/>
    <n v="42246"/>
    <n v="4224.6000000000004"/>
    <x v="3"/>
    <n v="38021.4"/>
    <n v="27459.9"/>
    <x v="0"/>
    <n v="2.6"/>
    <n v="915330"/>
    <n v="-904768.5"/>
    <n v="3"/>
  </r>
  <r>
    <x v="3"/>
    <x v="2"/>
    <x v="0"/>
    <x v="4"/>
    <x v="0"/>
    <n v="3"/>
    <n v="5811"/>
    <x v="0"/>
    <n v="1937"/>
    <n v="23244"/>
    <n v="2556.84"/>
    <x v="3"/>
    <n v="20687.16"/>
    <n v="14876.16"/>
    <x v="0"/>
    <n v="2.56"/>
    <n v="5811"/>
    <n v="0"/>
    <n v="3"/>
  </r>
  <r>
    <x v="7"/>
    <x v="0"/>
    <x v="0"/>
    <x v="4"/>
    <x v="0"/>
    <n v="10"/>
    <n v="12078"/>
    <x v="0"/>
    <n v="4026"/>
    <n v="48312"/>
    <n v="5314.32"/>
    <x v="3"/>
    <n v="42997.68"/>
    <n v="30919.68"/>
    <x v="0"/>
    <n v="2.56"/>
    <n v="40260"/>
    <n v="-28182"/>
    <n v="3"/>
  </r>
  <r>
    <x v="15"/>
    <x v="5"/>
    <x v="0"/>
    <x v="4"/>
    <x v="0"/>
    <n v="250"/>
    <n v="6327"/>
    <x v="0"/>
    <n v="2109"/>
    <n v="25308"/>
    <n v="3036.96"/>
    <x v="3"/>
    <n v="22271.040000000001"/>
    <n v="15944.04"/>
    <x v="0"/>
    <n v="2.52"/>
    <n v="527250"/>
    <n v="-520923"/>
    <n v="3"/>
  </r>
  <r>
    <x v="4"/>
    <x v="1"/>
    <x v="0"/>
    <x v="4"/>
    <x v="0"/>
    <n v="260"/>
    <n v="8283"/>
    <x v="0"/>
    <n v="2761"/>
    <n v="33132"/>
    <n v="3975.84"/>
    <x v="3"/>
    <n v="29156.16"/>
    <n v="20873.16"/>
    <x v="0"/>
    <n v="2.52"/>
    <n v="717860"/>
    <n v="-709577"/>
    <n v="3"/>
  </r>
  <r>
    <x v="0"/>
    <x v="0"/>
    <x v="0"/>
    <x v="4"/>
    <x v="0"/>
    <n v="10"/>
    <n v="6666"/>
    <x v="0"/>
    <n v="2222"/>
    <n v="26664"/>
    <n v="3732.96"/>
    <x v="3"/>
    <n v="22931.040000000001"/>
    <n v="16265.04"/>
    <x v="0"/>
    <n v="2.44"/>
    <n v="22220"/>
    <n v="-15554"/>
    <n v="3"/>
  </r>
  <r>
    <x v="2"/>
    <x v="4"/>
    <x v="1"/>
    <x v="0"/>
    <x v="0"/>
    <n v="120"/>
    <n v="338520"/>
    <x v="1"/>
    <n v="2821"/>
    <n v="352625"/>
    <n v="0"/>
    <x v="0"/>
    <n v="352625"/>
    <n v="14105"/>
    <x v="1"/>
    <n v="4.1666666666666664E-2"/>
    <n v="338520"/>
    <n v="0"/>
    <n v="120"/>
  </r>
  <r>
    <x v="4"/>
    <x v="2"/>
    <x v="1"/>
    <x v="0"/>
    <x v="0"/>
    <n v="3"/>
    <n v="39600"/>
    <x v="1"/>
    <n v="330"/>
    <n v="41250"/>
    <n v="412.5"/>
    <x v="1"/>
    <n v="40837.5"/>
    <n v="1237.5"/>
    <x v="1"/>
    <n v="3.125E-2"/>
    <n v="990"/>
    <n v="38610"/>
    <n v="3"/>
  </r>
  <r>
    <x v="11"/>
    <x v="3"/>
    <x v="1"/>
    <x v="0"/>
    <x v="0"/>
    <n v="5"/>
    <n v="79560"/>
    <x v="1"/>
    <n v="663"/>
    <n v="82875"/>
    <n v="828.75"/>
    <x v="1"/>
    <n v="82046.25"/>
    <n v="2486.25"/>
    <x v="1"/>
    <n v="3.125E-2"/>
    <n v="3315"/>
    <n v="76245"/>
    <n v="5"/>
  </r>
  <r>
    <x v="5"/>
    <x v="0"/>
    <x v="1"/>
    <x v="0"/>
    <x v="0"/>
    <n v="10"/>
    <n v="87240"/>
    <x v="1"/>
    <n v="727"/>
    <n v="90875"/>
    <n v="908.75"/>
    <x v="1"/>
    <n v="89966.25"/>
    <n v="2726.25"/>
    <x v="1"/>
    <n v="3.125E-2"/>
    <n v="7270"/>
    <n v="79970"/>
    <n v="10"/>
  </r>
  <r>
    <x v="11"/>
    <x v="4"/>
    <x v="1"/>
    <x v="0"/>
    <x v="0"/>
    <n v="120"/>
    <n v="79560"/>
    <x v="1"/>
    <n v="663"/>
    <n v="82875"/>
    <n v="828.75"/>
    <x v="1"/>
    <n v="82046.25"/>
    <n v="2486.25"/>
    <x v="1"/>
    <n v="3.125E-2"/>
    <n v="79560"/>
    <n v="0"/>
    <n v="120"/>
  </r>
  <r>
    <x v="5"/>
    <x v="5"/>
    <x v="1"/>
    <x v="0"/>
    <x v="0"/>
    <n v="250"/>
    <n v="87240"/>
    <x v="1"/>
    <n v="727"/>
    <n v="90875"/>
    <n v="908.75"/>
    <x v="1"/>
    <n v="89966.25"/>
    <n v="2726.25"/>
    <x v="1"/>
    <n v="3.125E-2"/>
    <n v="181750"/>
    <n v="-94510"/>
    <n v="120"/>
  </r>
  <r>
    <x v="7"/>
    <x v="3"/>
    <x v="1"/>
    <x v="0"/>
    <x v="0"/>
    <n v="5"/>
    <n v="435240"/>
    <x v="1"/>
    <n v="3627"/>
    <n v="453375"/>
    <n v="22668.75"/>
    <x v="2"/>
    <n v="430706.25"/>
    <n v="-4533.75"/>
    <x v="1"/>
    <n v="-1.0416666666666666E-2"/>
    <n v="18135"/>
    <n v="417105"/>
    <n v="5"/>
  </r>
  <r>
    <x v="8"/>
    <x v="0"/>
    <x v="1"/>
    <x v="0"/>
    <x v="0"/>
    <n v="10"/>
    <n v="359040"/>
    <x v="1"/>
    <n v="2992"/>
    <n v="374000"/>
    <n v="18700"/>
    <x v="2"/>
    <n v="355300"/>
    <n v="-3740"/>
    <x v="1"/>
    <n v="-1.0416666666666666E-2"/>
    <n v="29920"/>
    <n v="329120"/>
    <n v="10"/>
  </r>
  <r>
    <x v="13"/>
    <x v="0"/>
    <x v="1"/>
    <x v="0"/>
    <x v="0"/>
    <n v="10"/>
    <n v="103320"/>
    <x v="1"/>
    <n v="861"/>
    <n v="107625"/>
    <n v="5381.25"/>
    <x v="2"/>
    <n v="102243.75"/>
    <n v="-1076.25"/>
    <x v="1"/>
    <n v="-1.0416666666666666E-2"/>
    <n v="8610"/>
    <n v="94710"/>
    <n v="10"/>
  </r>
  <r>
    <x v="13"/>
    <x v="4"/>
    <x v="1"/>
    <x v="0"/>
    <x v="0"/>
    <n v="120"/>
    <n v="103320"/>
    <x v="1"/>
    <n v="861"/>
    <n v="107625"/>
    <n v="5381.25"/>
    <x v="2"/>
    <n v="102243.75"/>
    <n v="-1076.25"/>
    <x v="1"/>
    <n v="-1.0416666666666666E-2"/>
    <n v="103320"/>
    <n v="0"/>
    <n v="120"/>
  </r>
  <r>
    <x v="3"/>
    <x v="4"/>
    <x v="1"/>
    <x v="0"/>
    <x v="0"/>
    <n v="120"/>
    <n v="330600"/>
    <x v="1"/>
    <n v="2755"/>
    <n v="344375"/>
    <n v="20662.5"/>
    <x v="2"/>
    <n v="323712.5"/>
    <n v="-6887.5"/>
    <x v="1"/>
    <n v="-2.0833333333333332E-2"/>
    <n v="330600"/>
    <n v="0"/>
    <n v="120"/>
  </r>
  <r>
    <x v="14"/>
    <x v="3"/>
    <x v="1"/>
    <x v="0"/>
    <x v="0"/>
    <n v="5"/>
    <n v="335640"/>
    <x v="1"/>
    <n v="2797"/>
    <n v="349625"/>
    <n v="31466.25"/>
    <x v="2"/>
    <n v="318158.75"/>
    <n v="-17481.25"/>
    <x v="1"/>
    <n v="-5.2083333333333336E-2"/>
    <n v="13985"/>
    <n v="321655"/>
    <n v="5"/>
  </r>
  <r>
    <x v="14"/>
    <x v="0"/>
    <x v="1"/>
    <x v="0"/>
    <x v="0"/>
    <n v="10"/>
    <n v="335640"/>
    <x v="1"/>
    <n v="2797"/>
    <n v="349625"/>
    <n v="31466.25"/>
    <x v="2"/>
    <n v="318158.75"/>
    <n v="-17481.25"/>
    <x v="1"/>
    <n v="-5.2083333333333336E-2"/>
    <n v="27970"/>
    <n v="307670"/>
    <n v="10"/>
  </r>
  <r>
    <x v="1"/>
    <x v="2"/>
    <x v="1"/>
    <x v="0"/>
    <x v="0"/>
    <n v="3"/>
    <n v="413460"/>
    <x v="1"/>
    <n v="3445.5"/>
    <n v="430687.5"/>
    <n v="43068.75"/>
    <x v="3"/>
    <n v="387618.75"/>
    <n v="-25841.25"/>
    <x v="1"/>
    <n v="-6.25E-2"/>
    <n v="10336.5"/>
    <n v="403123.5"/>
    <n v="3"/>
  </r>
  <r>
    <x v="0"/>
    <x v="3"/>
    <x v="1"/>
    <x v="0"/>
    <x v="0"/>
    <n v="5"/>
    <n v="216480"/>
    <x v="1"/>
    <n v="1804"/>
    <n v="225500"/>
    <n v="22550"/>
    <x v="3"/>
    <n v="202950"/>
    <n v="-13530"/>
    <x v="1"/>
    <n v="-6.25E-2"/>
    <n v="9020"/>
    <n v="207460"/>
    <n v="5"/>
  </r>
  <r>
    <x v="6"/>
    <x v="4"/>
    <x v="1"/>
    <x v="0"/>
    <x v="0"/>
    <n v="120"/>
    <n v="191520"/>
    <x v="1"/>
    <n v="1596"/>
    <n v="199500"/>
    <n v="19950"/>
    <x v="3"/>
    <n v="179550"/>
    <n v="-11970"/>
    <x v="1"/>
    <n v="-6.25E-2"/>
    <n v="191520"/>
    <n v="0"/>
    <n v="120"/>
  </r>
  <r>
    <x v="10"/>
    <x v="1"/>
    <x v="1"/>
    <x v="0"/>
    <x v="0"/>
    <n v="260"/>
    <n v="69480"/>
    <x v="1"/>
    <n v="579"/>
    <n v="72375"/>
    <n v="7237.5"/>
    <x v="3"/>
    <n v="65137.5"/>
    <n v="-4342.5"/>
    <x v="1"/>
    <n v="-6.25E-2"/>
    <n v="150540"/>
    <n v="-81060"/>
    <n v="120"/>
  </r>
  <r>
    <x v="9"/>
    <x v="5"/>
    <x v="1"/>
    <x v="0"/>
    <x v="0"/>
    <n v="250"/>
    <n v="286440"/>
    <x v="1"/>
    <n v="2387"/>
    <n v="298375"/>
    <n v="35805"/>
    <x v="3"/>
    <n v="262570"/>
    <n v="-23870"/>
    <x v="1"/>
    <n v="-8.3333333333333329E-2"/>
    <n v="596750"/>
    <n v="-310310"/>
    <n v="120"/>
  </r>
  <r>
    <x v="15"/>
    <x v="1"/>
    <x v="1"/>
    <x v="0"/>
    <x v="0"/>
    <n v="260"/>
    <n v="341280"/>
    <x v="1"/>
    <n v="2844"/>
    <n v="355500"/>
    <n v="49770"/>
    <x v="3"/>
    <n v="305730"/>
    <n v="-35550"/>
    <x v="1"/>
    <n v="-0.10416666666666667"/>
    <n v="739440"/>
    <n v="-398160"/>
    <n v="120"/>
  </r>
  <r>
    <x v="12"/>
    <x v="4"/>
    <x v="1"/>
    <x v="0"/>
    <x v="0"/>
    <n v="120"/>
    <n v="292560"/>
    <x v="1"/>
    <n v="2438"/>
    <n v="304750"/>
    <n v="45712.5"/>
    <x v="3"/>
    <n v="259037.5"/>
    <n v="-33522.5"/>
    <x v="1"/>
    <n v="-0.11458333333333333"/>
    <n v="292560"/>
    <n v="0"/>
    <n v="120"/>
  </r>
  <r>
    <x v="7"/>
    <x v="0"/>
    <x v="1"/>
    <x v="1"/>
    <x v="0"/>
    <n v="10"/>
    <n v="218760"/>
    <x v="1"/>
    <n v="1823"/>
    <n v="227875"/>
    <n v="2278.75"/>
    <x v="1"/>
    <n v="225596.25"/>
    <n v="6836.25"/>
    <x v="1"/>
    <n v="3.125E-2"/>
    <n v="18230"/>
    <n v="200530"/>
    <n v="10"/>
  </r>
  <r>
    <x v="0"/>
    <x v="3"/>
    <x v="1"/>
    <x v="1"/>
    <x v="0"/>
    <n v="5"/>
    <n v="199200"/>
    <x v="1"/>
    <n v="1660"/>
    <n v="207500"/>
    <n v="4150"/>
    <x v="1"/>
    <n v="203350"/>
    <n v="4150"/>
    <x v="1"/>
    <n v="2.0833333333333332E-2"/>
    <n v="8300"/>
    <n v="190900"/>
    <n v="5"/>
  </r>
  <r>
    <x v="5"/>
    <x v="0"/>
    <x v="1"/>
    <x v="1"/>
    <x v="0"/>
    <n v="10"/>
    <n v="79440"/>
    <x v="1"/>
    <n v="662"/>
    <n v="82750"/>
    <n v="1655"/>
    <x v="1"/>
    <n v="81095"/>
    <n v="1655"/>
    <x v="1"/>
    <n v="2.0833333333333332E-2"/>
    <n v="6620"/>
    <n v="72820"/>
    <n v="10"/>
  </r>
  <r>
    <x v="11"/>
    <x v="0"/>
    <x v="1"/>
    <x v="1"/>
    <x v="0"/>
    <n v="10"/>
    <n v="257400"/>
    <x v="1"/>
    <n v="2145"/>
    <n v="268125"/>
    <n v="5362.5"/>
    <x v="1"/>
    <n v="262762.5"/>
    <n v="5362.5"/>
    <x v="1"/>
    <n v="2.0833333333333332E-2"/>
    <n v="21450"/>
    <n v="235950"/>
    <n v="10"/>
  </r>
  <r>
    <x v="11"/>
    <x v="4"/>
    <x v="1"/>
    <x v="1"/>
    <x v="0"/>
    <n v="120"/>
    <n v="257400"/>
    <x v="1"/>
    <n v="2145"/>
    <n v="268125"/>
    <n v="5362.5"/>
    <x v="1"/>
    <n v="262762.5"/>
    <n v="5362.5"/>
    <x v="1"/>
    <n v="2.0833333333333332E-2"/>
    <n v="257400"/>
    <n v="0"/>
    <n v="120"/>
  </r>
  <r>
    <x v="5"/>
    <x v="5"/>
    <x v="1"/>
    <x v="1"/>
    <x v="0"/>
    <n v="250"/>
    <n v="79440"/>
    <x v="1"/>
    <n v="662"/>
    <n v="82750"/>
    <n v="1655"/>
    <x v="1"/>
    <n v="81095"/>
    <n v="1655"/>
    <x v="1"/>
    <n v="2.0833333333333332E-2"/>
    <n v="165500"/>
    <n v="-86060"/>
    <n v="120"/>
  </r>
  <r>
    <x v="14"/>
    <x v="3"/>
    <x v="1"/>
    <x v="1"/>
    <x v="0"/>
    <n v="5"/>
    <n v="136560"/>
    <x v="1"/>
    <n v="1138"/>
    <n v="142250"/>
    <n v="5690"/>
    <x v="1"/>
    <n v="136560"/>
    <n v="0"/>
    <x v="1"/>
    <n v="0"/>
    <n v="5690"/>
    <n v="130870"/>
    <n v="5"/>
  </r>
  <r>
    <x v="14"/>
    <x v="0"/>
    <x v="1"/>
    <x v="1"/>
    <x v="0"/>
    <n v="10"/>
    <n v="136560"/>
    <x v="1"/>
    <n v="1138"/>
    <n v="142250"/>
    <n v="5690"/>
    <x v="1"/>
    <n v="136560"/>
    <n v="0"/>
    <x v="1"/>
    <n v="0"/>
    <n v="11380"/>
    <n v="125180"/>
    <n v="10"/>
  </r>
  <r>
    <x v="1"/>
    <x v="1"/>
    <x v="1"/>
    <x v="1"/>
    <x v="0"/>
    <n v="260"/>
    <n v="128880"/>
    <x v="1"/>
    <n v="1074"/>
    <n v="134250"/>
    <n v="5370"/>
    <x v="1"/>
    <n v="128880"/>
    <n v="0"/>
    <x v="1"/>
    <n v="0"/>
    <n v="279240"/>
    <n v="-150360"/>
    <n v="120"/>
  </r>
  <r>
    <x v="2"/>
    <x v="2"/>
    <x v="1"/>
    <x v="1"/>
    <x v="0"/>
    <n v="3"/>
    <n v="184800"/>
    <x v="1"/>
    <n v="1540"/>
    <n v="192500"/>
    <n v="15400"/>
    <x v="2"/>
    <n v="177100"/>
    <n v="-7700"/>
    <x v="1"/>
    <n v="-4.1666666666666664E-2"/>
    <n v="4620"/>
    <n v="180180"/>
    <n v="3"/>
  </r>
  <r>
    <x v="8"/>
    <x v="0"/>
    <x v="1"/>
    <x v="1"/>
    <x v="0"/>
    <n v="10"/>
    <n v="133680"/>
    <x v="1"/>
    <n v="1114"/>
    <n v="139250"/>
    <n v="11140"/>
    <x v="2"/>
    <n v="128110"/>
    <n v="-5570"/>
    <x v="1"/>
    <n v="-4.1666666666666664E-2"/>
    <n v="11140"/>
    <n v="122540"/>
    <n v="10"/>
  </r>
  <r>
    <x v="6"/>
    <x v="4"/>
    <x v="1"/>
    <x v="1"/>
    <x v="0"/>
    <n v="120"/>
    <n v="253200"/>
    <x v="1"/>
    <n v="2110"/>
    <n v="263750"/>
    <n v="23737.5"/>
    <x v="2"/>
    <n v="240012.5"/>
    <n v="-13187.5"/>
    <x v="1"/>
    <n v="-5.2083333333333336E-2"/>
    <n v="253200"/>
    <n v="0"/>
    <n v="120"/>
  </r>
  <r>
    <x v="9"/>
    <x v="5"/>
    <x v="1"/>
    <x v="1"/>
    <x v="0"/>
    <n v="250"/>
    <n v="105240"/>
    <x v="1"/>
    <n v="877"/>
    <n v="109625"/>
    <n v="9866.25"/>
    <x v="2"/>
    <n v="99758.75"/>
    <n v="-5481.25"/>
    <x v="1"/>
    <n v="-5.2083333333333336E-2"/>
    <n v="219250"/>
    <n v="-114010"/>
    <n v="120"/>
  </r>
  <r>
    <x v="15"/>
    <x v="5"/>
    <x v="1"/>
    <x v="1"/>
    <x v="0"/>
    <n v="250"/>
    <n v="40920"/>
    <x v="1"/>
    <n v="341"/>
    <n v="42625"/>
    <n v="4262.5"/>
    <x v="3"/>
    <n v="38362.5"/>
    <n v="-2557.5"/>
    <x v="1"/>
    <n v="-6.25E-2"/>
    <n v="85250"/>
    <n v="-44330"/>
    <n v="120"/>
  </r>
  <r>
    <x v="10"/>
    <x v="5"/>
    <x v="1"/>
    <x v="1"/>
    <x v="0"/>
    <n v="250"/>
    <n v="66480"/>
    <x v="1"/>
    <n v="554"/>
    <n v="69250"/>
    <n v="7617.5"/>
    <x v="3"/>
    <n v="61632.5"/>
    <n v="-4847.5"/>
    <x v="1"/>
    <n v="-7.2916666666666671E-2"/>
    <n v="138500"/>
    <n v="-72020"/>
    <n v="120"/>
  </r>
  <r>
    <x v="4"/>
    <x v="1"/>
    <x v="1"/>
    <x v="1"/>
    <x v="0"/>
    <n v="260"/>
    <n v="113640"/>
    <x v="1"/>
    <n v="947"/>
    <n v="118375"/>
    <n v="13021.25"/>
    <x v="3"/>
    <n v="105353.75"/>
    <n v="-8286.25"/>
    <x v="1"/>
    <n v="-7.2916666666666671E-2"/>
    <n v="246220"/>
    <n v="-132580"/>
    <n v="120"/>
  </r>
  <r>
    <x v="13"/>
    <x v="2"/>
    <x v="1"/>
    <x v="1"/>
    <x v="0"/>
    <n v="3"/>
    <n v="258720"/>
    <x v="1"/>
    <n v="2156"/>
    <n v="269500"/>
    <n v="32340"/>
    <x v="3"/>
    <n v="237160"/>
    <n v="-21560"/>
    <x v="1"/>
    <n v="-8.3333333333333329E-2"/>
    <n v="6468"/>
    <n v="252252"/>
    <n v="3"/>
  </r>
  <r>
    <x v="13"/>
    <x v="0"/>
    <x v="1"/>
    <x v="1"/>
    <x v="0"/>
    <n v="10"/>
    <n v="258720"/>
    <x v="1"/>
    <n v="2156"/>
    <n v="269500"/>
    <n v="32340"/>
    <x v="3"/>
    <n v="237160"/>
    <n v="-21560"/>
    <x v="1"/>
    <n v="-8.3333333333333329E-2"/>
    <n v="21560"/>
    <n v="237160"/>
    <n v="10"/>
  </r>
  <r>
    <x v="12"/>
    <x v="2"/>
    <x v="1"/>
    <x v="1"/>
    <x v="0"/>
    <n v="3"/>
    <n v="338520"/>
    <x v="1"/>
    <n v="2821"/>
    <n v="352625"/>
    <n v="49367.5"/>
    <x v="3"/>
    <n v="303257.5"/>
    <n v="-35262.5"/>
    <x v="1"/>
    <n v="-0.10416666666666667"/>
    <n v="8463"/>
    <n v="330057"/>
    <n v="3"/>
  </r>
  <r>
    <x v="3"/>
    <x v="4"/>
    <x v="1"/>
    <x v="1"/>
    <x v="0"/>
    <n v="120"/>
    <n v="189000"/>
    <x v="1"/>
    <n v="1575"/>
    <n v="196875"/>
    <n v="27562.5"/>
    <x v="3"/>
    <n v="169312.5"/>
    <n v="-19687.5"/>
    <x v="1"/>
    <n v="-0.10416666666666667"/>
    <n v="189000"/>
    <n v="0"/>
    <n v="120"/>
  </r>
  <r>
    <x v="1"/>
    <x v="1"/>
    <x v="1"/>
    <x v="2"/>
    <x v="1"/>
    <n v="260"/>
    <n v="506340"/>
    <x v="1"/>
    <n v="4219.5"/>
    <n v="527437.5"/>
    <n v="0"/>
    <x v="0"/>
    <n v="527437.5"/>
    <n v="21097.5"/>
    <x v="1"/>
    <n v="4.1666666666666664E-2"/>
    <n v="1097070"/>
    <n v="-590730"/>
    <n v="120"/>
  </r>
  <r>
    <x v="11"/>
    <x v="0"/>
    <x v="1"/>
    <x v="2"/>
    <x v="1"/>
    <n v="10"/>
    <n v="97080"/>
    <x v="1"/>
    <n v="809"/>
    <n v="101125"/>
    <n v="2022.5"/>
    <x v="1"/>
    <n v="99102.5"/>
    <n v="2022.5"/>
    <x v="1"/>
    <n v="2.0833333333333332E-2"/>
    <n v="8090"/>
    <n v="88990"/>
    <n v="10"/>
  </r>
  <r>
    <x v="11"/>
    <x v="4"/>
    <x v="1"/>
    <x v="2"/>
    <x v="1"/>
    <n v="120"/>
    <n v="97080"/>
    <x v="1"/>
    <n v="809"/>
    <n v="101125"/>
    <n v="2022.5"/>
    <x v="1"/>
    <n v="99102.5"/>
    <n v="2022.5"/>
    <x v="1"/>
    <n v="2.0833333333333332E-2"/>
    <n v="97080"/>
    <n v="0"/>
    <n v="120"/>
  </r>
  <r>
    <x v="15"/>
    <x v="1"/>
    <x v="1"/>
    <x v="2"/>
    <x v="1"/>
    <n v="260"/>
    <n v="273120"/>
    <x v="1"/>
    <n v="2276"/>
    <n v="284500"/>
    <n v="5690"/>
    <x v="1"/>
    <n v="278810"/>
    <n v="5690"/>
    <x v="1"/>
    <n v="2.0833333333333332E-2"/>
    <n v="591760"/>
    <n v="-318640"/>
    <n v="120"/>
  </r>
  <r>
    <x v="14"/>
    <x v="3"/>
    <x v="1"/>
    <x v="2"/>
    <x v="1"/>
    <n v="5"/>
    <n v="204720"/>
    <x v="1"/>
    <n v="1706"/>
    <n v="213250"/>
    <n v="6397.5"/>
    <x v="1"/>
    <n v="206852.5"/>
    <n v="2132.5"/>
    <x v="1"/>
    <n v="1.0416666666666666E-2"/>
    <n v="8530"/>
    <n v="196190"/>
    <n v="5"/>
  </r>
  <r>
    <x v="5"/>
    <x v="0"/>
    <x v="1"/>
    <x v="2"/>
    <x v="1"/>
    <n v="10"/>
    <n v="188400"/>
    <x v="1"/>
    <n v="1570"/>
    <n v="196250"/>
    <n v="5887.5"/>
    <x v="1"/>
    <n v="190362.5"/>
    <n v="1962.5"/>
    <x v="1"/>
    <n v="1.0416666666666666E-2"/>
    <n v="15700"/>
    <n v="172700"/>
    <n v="10"/>
  </r>
  <r>
    <x v="14"/>
    <x v="0"/>
    <x v="1"/>
    <x v="2"/>
    <x v="1"/>
    <n v="10"/>
    <n v="204720"/>
    <x v="1"/>
    <n v="1706"/>
    <n v="213250"/>
    <n v="6397.5"/>
    <x v="1"/>
    <n v="206852.5"/>
    <n v="2132.5"/>
    <x v="1"/>
    <n v="1.0416666666666666E-2"/>
    <n v="17060"/>
    <n v="187660"/>
    <n v="10"/>
  </r>
  <r>
    <x v="5"/>
    <x v="5"/>
    <x v="1"/>
    <x v="2"/>
    <x v="1"/>
    <n v="250"/>
    <n v="188400"/>
    <x v="1"/>
    <n v="1570"/>
    <n v="196250"/>
    <n v="5887.5"/>
    <x v="1"/>
    <n v="190362.5"/>
    <n v="1962.5"/>
    <x v="1"/>
    <n v="1.0416666666666666E-2"/>
    <n v="392500"/>
    <n v="-204100"/>
    <n v="120"/>
  </r>
  <r>
    <x v="8"/>
    <x v="0"/>
    <x v="1"/>
    <x v="2"/>
    <x v="1"/>
    <n v="10"/>
    <n v="95400"/>
    <x v="1"/>
    <n v="795"/>
    <n v="99375"/>
    <n v="3975"/>
    <x v="1"/>
    <n v="95400"/>
    <n v="0"/>
    <x v="1"/>
    <n v="0"/>
    <n v="7950"/>
    <n v="87450"/>
    <n v="10"/>
  </r>
  <r>
    <x v="3"/>
    <x v="4"/>
    <x v="1"/>
    <x v="2"/>
    <x v="1"/>
    <n v="120"/>
    <n v="96840"/>
    <x v="1"/>
    <n v="807"/>
    <n v="100875"/>
    <n v="5043.75"/>
    <x v="2"/>
    <n v="95831.25"/>
    <n v="-1008.75"/>
    <x v="1"/>
    <n v="-1.0416666666666666E-2"/>
    <n v="96840"/>
    <n v="0"/>
    <n v="120"/>
  </r>
  <r>
    <x v="12"/>
    <x v="2"/>
    <x v="1"/>
    <x v="2"/>
    <x v="1"/>
    <n v="3"/>
    <n v="106440"/>
    <x v="1"/>
    <n v="887"/>
    <n v="110875"/>
    <n v="6652.5"/>
    <x v="2"/>
    <n v="104222.5"/>
    <n v="-2217.5"/>
    <x v="1"/>
    <n v="-2.0833333333333332E-2"/>
    <n v="2661"/>
    <n v="103779"/>
    <n v="3"/>
  </r>
  <r>
    <x v="0"/>
    <x v="3"/>
    <x v="1"/>
    <x v="2"/>
    <x v="1"/>
    <n v="5"/>
    <n v="300000"/>
    <x v="1"/>
    <n v="2500"/>
    <n v="312500"/>
    <n v="21875"/>
    <x v="2"/>
    <n v="290625"/>
    <n v="-9375"/>
    <x v="1"/>
    <n v="-3.125E-2"/>
    <n v="12500"/>
    <n v="287500"/>
    <n v="5"/>
  </r>
  <r>
    <x v="7"/>
    <x v="0"/>
    <x v="1"/>
    <x v="2"/>
    <x v="1"/>
    <n v="10"/>
    <n v="421560"/>
    <x v="1"/>
    <n v="3513"/>
    <n v="439125"/>
    <n v="30738.75"/>
    <x v="2"/>
    <n v="408386.25"/>
    <n v="-13173.75"/>
    <x v="1"/>
    <n v="-3.125E-2"/>
    <n v="35130"/>
    <n v="386430"/>
    <n v="10"/>
  </r>
  <r>
    <x v="6"/>
    <x v="4"/>
    <x v="1"/>
    <x v="2"/>
    <x v="1"/>
    <n v="120"/>
    <n v="250440"/>
    <x v="1"/>
    <n v="2087"/>
    <n v="260875"/>
    <n v="18261.25"/>
    <x v="2"/>
    <n v="242613.75"/>
    <n v="-7826.25"/>
    <x v="1"/>
    <n v="-3.125E-2"/>
    <n v="250440"/>
    <n v="0"/>
    <n v="120"/>
  </r>
  <r>
    <x v="4"/>
    <x v="1"/>
    <x v="1"/>
    <x v="2"/>
    <x v="1"/>
    <n v="260"/>
    <n v="119280"/>
    <x v="1"/>
    <n v="994"/>
    <n v="124250"/>
    <n v="8697.5"/>
    <x v="2"/>
    <n v="115552.5"/>
    <n v="-3727.5"/>
    <x v="1"/>
    <n v="-3.125E-2"/>
    <n v="258440"/>
    <n v="-139160"/>
    <n v="120"/>
  </r>
  <r>
    <x v="10"/>
    <x v="1"/>
    <x v="1"/>
    <x v="2"/>
    <x v="1"/>
    <n v="260"/>
    <n v="379800"/>
    <x v="1"/>
    <n v="3165"/>
    <n v="395625"/>
    <n v="43518.75"/>
    <x v="3"/>
    <n v="352106.25"/>
    <n v="-27693.75"/>
    <x v="1"/>
    <n v="-7.2916666666666671E-2"/>
    <n v="822900"/>
    <n v="-443100"/>
    <n v="120"/>
  </r>
  <r>
    <x v="2"/>
    <x v="2"/>
    <x v="1"/>
    <x v="2"/>
    <x v="1"/>
    <n v="3"/>
    <n v="332040"/>
    <x v="1"/>
    <n v="2767"/>
    <n v="345875"/>
    <n v="51881.25"/>
    <x v="3"/>
    <n v="293993.75"/>
    <n v="-38046.25"/>
    <x v="1"/>
    <n v="-0.11458333333333333"/>
    <n v="8301"/>
    <n v="323739"/>
    <n v="3"/>
  </r>
  <r>
    <x v="13"/>
    <x v="2"/>
    <x v="1"/>
    <x v="2"/>
    <x v="1"/>
    <n v="3"/>
    <n v="130200"/>
    <x v="1"/>
    <n v="1085"/>
    <n v="135625"/>
    <n v="20343.75"/>
    <x v="3"/>
    <n v="115281.25"/>
    <n v="-14918.75"/>
    <x v="1"/>
    <n v="-0.11458333333333333"/>
    <n v="3255"/>
    <n v="126945"/>
    <n v="3"/>
  </r>
  <r>
    <x v="13"/>
    <x v="0"/>
    <x v="1"/>
    <x v="2"/>
    <x v="1"/>
    <n v="10"/>
    <n v="130200"/>
    <x v="1"/>
    <n v="1085"/>
    <n v="135625"/>
    <n v="20343.75"/>
    <x v="3"/>
    <n v="115281.25"/>
    <n v="-14918.75"/>
    <x v="1"/>
    <n v="-0.11458333333333333"/>
    <n v="10850"/>
    <n v="119350"/>
    <n v="10"/>
  </r>
  <r>
    <x v="9"/>
    <x v="5"/>
    <x v="1"/>
    <x v="2"/>
    <x v="1"/>
    <n v="250"/>
    <n v="66240"/>
    <x v="1"/>
    <n v="552"/>
    <n v="69000"/>
    <n v="10350"/>
    <x v="3"/>
    <n v="58650"/>
    <n v="-7590"/>
    <x v="1"/>
    <n v="-0.11458333333333333"/>
    <n v="138000"/>
    <n v="-71760"/>
    <n v="120"/>
  </r>
  <r>
    <x v="3"/>
    <x v="4"/>
    <x v="1"/>
    <x v="3"/>
    <x v="1"/>
    <n v="120"/>
    <n v="216480"/>
    <x v="1"/>
    <n v="1804"/>
    <n v="225500"/>
    <n v="0"/>
    <x v="0"/>
    <n v="225500"/>
    <n v="9020"/>
    <x v="1"/>
    <n v="4.1666666666666664E-2"/>
    <n v="216480"/>
    <n v="0"/>
    <n v="120"/>
  </r>
  <r>
    <x v="5"/>
    <x v="0"/>
    <x v="1"/>
    <x v="3"/>
    <x v="1"/>
    <n v="10"/>
    <n v="94440"/>
    <x v="1"/>
    <n v="787"/>
    <n v="98375"/>
    <n v="983.75"/>
    <x v="1"/>
    <n v="97391.25"/>
    <n v="2951.25"/>
    <x v="1"/>
    <n v="3.125E-2"/>
    <n v="7870"/>
    <n v="86570"/>
    <n v="10"/>
  </r>
  <r>
    <x v="5"/>
    <x v="5"/>
    <x v="1"/>
    <x v="3"/>
    <x v="1"/>
    <n v="250"/>
    <n v="94440"/>
    <x v="1"/>
    <n v="787"/>
    <n v="98375"/>
    <n v="983.75"/>
    <x v="1"/>
    <n v="97391.25"/>
    <n v="2951.25"/>
    <x v="1"/>
    <n v="3.125E-2"/>
    <n v="196750"/>
    <n v="-102310"/>
    <n v="120"/>
  </r>
  <r>
    <x v="9"/>
    <x v="5"/>
    <x v="1"/>
    <x v="3"/>
    <x v="1"/>
    <n v="250"/>
    <n v="209280"/>
    <x v="1"/>
    <n v="1744"/>
    <n v="218000"/>
    <n v="2180"/>
    <x v="1"/>
    <n v="215820"/>
    <n v="6540"/>
    <x v="1"/>
    <n v="3.125E-2"/>
    <n v="436000"/>
    <n v="-226720"/>
    <n v="120"/>
  </r>
  <r>
    <x v="1"/>
    <x v="2"/>
    <x v="1"/>
    <x v="3"/>
    <x v="1"/>
    <n v="3"/>
    <n v="509220"/>
    <x v="1"/>
    <n v="4243.5"/>
    <n v="530437.5"/>
    <n v="15913.13"/>
    <x v="1"/>
    <n v="514524.38"/>
    <n v="5304.3800000000047"/>
    <x v="1"/>
    <n v="1.0416676485605444E-2"/>
    <n v="12730.5"/>
    <n v="496489.5"/>
    <n v="3"/>
  </r>
  <r>
    <x v="14"/>
    <x v="3"/>
    <x v="1"/>
    <x v="3"/>
    <x v="1"/>
    <n v="5"/>
    <n v="154440"/>
    <x v="1"/>
    <n v="1287"/>
    <n v="160875"/>
    <n v="4826.25"/>
    <x v="1"/>
    <n v="156048.75"/>
    <n v="1608.75"/>
    <x v="1"/>
    <n v="1.0416666666666666E-2"/>
    <n v="6435"/>
    <n v="148005"/>
    <n v="5"/>
  </r>
  <r>
    <x v="14"/>
    <x v="0"/>
    <x v="1"/>
    <x v="3"/>
    <x v="1"/>
    <n v="10"/>
    <n v="154440"/>
    <x v="1"/>
    <n v="1287"/>
    <n v="160875"/>
    <n v="4826.25"/>
    <x v="1"/>
    <n v="156048.75"/>
    <n v="1608.75"/>
    <x v="1"/>
    <n v="1.0416666666666666E-2"/>
    <n v="12870"/>
    <n v="141570"/>
    <n v="10"/>
  </r>
  <r>
    <x v="7"/>
    <x v="0"/>
    <x v="1"/>
    <x v="3"/>
    <x v="1"/>
    <n v="10"/>
    <n v="358560"/>
    <x v="1"/>
    <n v="2988"/>
    <n v="373500"/>
    <n v="14940"/>
    <x v="1"/>
    <n v="358560"/>
    <n v="0"/>
    <x v="1"/>
    <n v="0"/>
    <n v="29880"/>
    <n v="328680"/>
    <n v="10"/>
  </r>
  <r>
    <x v="8"/>
    <x v="0"/>
    <x v="1"/>
    <x v="3"/>
    <x v="1"/>
    <n v="10"/>
    <n v="286200"/>
    <x v="1"/>
    <n v="2385"/>
    <n v="298125"/>
    <n v="14906.25"/>
    <x v="2"/>
    <n v="283218.75"/>
    <n v="-2981.25"/>
    <x v="1"/>
    <n v="-1.0416666666666666E-2"/>
    <n v="23850"/>
    <n v="262350"/>
    <n v="10"/>
  </r>
  <r>
    <x v="11"/>
    <x v="0"/>
    <x v="1"/>
    <x v="3"/>
    <x v="1"/>
    <n v="10"/>
    <n v="84480"/>
    <x v="1"/>
    <n v="704"/>
    <n v="88000"/>
    <n v="4400"/>
    <x v="2"/>
    <n v="83600"/>
    <n v="-880"/>
    <x v="1"/>
    <n v="-1.0416666666666666E-2"/>
    <n v="7040"/>
    <n v="77440"/>
    <n v="10"/>
  </r>
  <r>
    <x v="11"/>
    <x v="4"/>
    <x v="1"/>
    <x v="3"/>
    <x v="1"/>
    <n v="120"/>
    <n v="84480"/>
    <x v="1"/>
    <n v="704"/>
    <n v="88000"/>
    <n v="4400"/>
    <x v="2"/>
    <n v="83600"/>
    <n v="-880"/>
    <x v="1"/>
    <n v="-1.0416666666666666E-2"/>
    <n v="84480"/>
    <n v="0"/>
    <n v="120"/>
  </r>
  <r>
    <x v="10"/>
    <x v="1"/>
    <x v="1"/>
    <x v="3"/>
    <x v="1"/>
    <n v="260"/>
    <n v="238500"/>
    <x v="1"/>
    <n v="1987.5"/>
    <n v="248437.5"/>
    <n v="14906.25"/>
    <x v="2"/>
    <n v="233531.25"/>
    <n v="-4968.75"/>
    <x v="1"/>
    <n v="-2.0833333333333332E-2"/>
    <n v="516750"/>
    <n v="-278250"/>
    <n v="120"/>
  </r>
  <r>
    <x v="0"/>
    <x v="3"/>
    <x v="1"/>
    <x v="3"/>
    <x v="1"/>
    <n v="5"/>
    <n v="222840"/>
    <x v="1"/>
    <n v="1857"/>
    <n v="232125"/>
    <n v="20891.25"/>
    <x v="2"/>
    <n v="211233.75"/>
    <n v="-11606.25"/>
    <x v="1"/>
    <n v="-5.2083333333333336E-2"/>
    <n v="9285"/>
    <n v="213555"/>
    <n v="5"/>
  </r>
  <r>
    <x v="12"/>
    <x v="2"/>
    <x v="1"/>
    <x v="3"/>
    <x v="1"/>
    <n v="3"/>
    <n v="177840"/>
    <x v="1"/>
    <n v="1482"/>
    <n v="185250"/>
    <n v="18525"/>
    <x v="3"/>
    <n v="166725"/>
    <n v="-11115"/>
    <x v="1"/>
    <n v="-6.25E-2"/>
    <n v="4446"/>
    <n v="173394"/>
    <n v="3"/>
  </r>
  <r>
    <x v="13"/>
    <x v="2"/>
    <x v="1"/>
    <x v="3"/>
    <x v="1"/>
    <n v="3"/>
    <n v="292920"/>
    <x v="1"/>
    <n v="2441"/>
    <n v="305125"/>
    <n v="33563.75"/>
    <x v="3"/>
    <n v="271561.25"/>
    <n v="-21358.75"/>
    <x v="1"/>
    <n v="-7.2916666666666671E-2"/>
    <n v="7323"/>
    <n v="285597"/>
    <n v="3"/>
  </r>
  <r>
    <x v="13"/>
    <x v="0"/>
    <x v="1"/>
    <x v="3"/>
    <x v="1"/>
    <n v="10"/>
    <n v="292920"/>
    <x v="1"/>
    <n v="2441"/>
    <n v="305125"/>
    <n v="33563.75"/>
    <x v="3"/>
    <n v="271561.25"/>
    <n v="-21358.75"/>
    <x v="1"/>
    <n v="-7.2916666666666671E-2"/>
    <n v="24410"/>
    <n v="268510"/>
    <n v="10"/>
  </r>
  <r>
    <x v="15"/>
    <x v="1"/>
    <x v="1"/>
    <x v="3"/>
    <x v="1"/>
    <n v="260"/>
    <n v="171960"/>
    <x v="1"/>
    <n v="1433"/>
    <n v="179125"/>
    <n v="19703.75"/>
    <x v="3"/>
    <n v="159421.25"/>
    <n v="-12538.75"/>
    <x v="1"/>
    <n v="-7.2916666666666671E-2"/>
    <n v="372580"/>
    <n v="-200620"/>
    <n v="120"/>
  </r>
  <r>
    <x v="4"/>
    <x v="2"/>
    <x v="1"/>
    <x v="3"/>
    <x v="1"/>
    <n v="3"/>
    <n v="122760"/>
    <x v="1"/>
    <n v="1023"/>
    <n v="127875"/>
    <n v="17902.5"/>
    <x v="3"/>
    <n v="109972.5"/>
    <n v="-12787.5"/>
    <x v="1"/>
    <n v="-0.10416666666666667"/>
    <n v="3069"/>
    <n v="119691"/>
    <n v="3"/>
  </r>
  <r>
    <x v="2"/>
    <x v="2"/>
    <x v="1"/>
    <x v="3"/>
    <x v="1"/>
    <n v="3"/>
    <n v="140880"/>
    <x v="1"/>
    <n v="1174"/>
    <n v="146750"/>
    <n v="22012.5"/>
    <x v="3"/>
    <n v="124737.5"/>
    <n v="-16142.5"/>
    <x v="1"/>
    <n v="-0.11458333333333333"/>
    <n v="3522"/>
    <n v="137358"/>
    <n v="3"/>
  </r>
  <r>
    <x v="6"/>
    <x v="4"/>
    <x v="1"/>
    <x v="3"/>
    <x v="1"/>
    <n v="120"/>
    <n v="79560"/>
    <x v="1"/>
    <n v="663"/>
    <n v="82875"/>
    <n v="12431.25"/>
    <x v="3"/>
    <n v="70443.75"/>
    <n v="-9116.25"/>
    <x v="1"/>
    <n v="-0.11458333333333333"/>
    <n v="79560"/>
    <n v="0"/>
    <n v="120"/>
  </r>
  <r>
    <x v="7"/>
    <x v="3"/>
    <x v="1"/>
    <x v="4"/>
    <x v="0"/>
    <n v="5"/>
    <n v="319860"/>
    <x v="1"/>
    <n v="2665.5"/>
    <n v="333187.5"/>
    <n v="0"/>
    <x v="0"/>
    <n v="333187.5"/>
    <n v="13327.5"/>
    <x v="1"/>
    <n v="4.1666666666666664E-2"/>
    <n v="13327.5"/>
    <n v="306532.5"/>
    <n v="5"/>
  </r>
  <r>
    <x v="11"/>
    <x v="3"/>
    <x v="1"/>
    <x v="4"/>
    <x v="0"/>
    <n v="5"/>
    <n v="41400"/>
    <x v="1"/>
    <n v="345"/>
    <n v="43125"/>
    <n v="0"/>
    <x v="0"/>
    <n v="43125"/>
    <n v="1725"/>
    <x v="1"/>
    <n v="4.1666666666666664E-2"/>
    <n v="1725"/>
    <n v="39675"/>
    <n v="5"/>
  </r>
  <r>
    <x v="11"/>
    <x v="4"/>
    <x v="1"/>
    <x v="4"/>
    <x v="0"/>
    <n v="120"/>
    <n v="41400"/>
    <x v="1"/>
    <n v="345"/>
    <n v="43125"/>
    <n v="0"/>
    <x v="0"/>
    <n v="43125"/>
    <n v="1725"/>
    <x v="1"/>
    <n v="4.1666666666666664E-2"/>
    <n v="41400"/>
    <n v="0"/>
    <n v="120"/>
  </r>
  <r>
    <x v="2"/>
    <x v="4"/>
    <x v="1"/>
    <x v="4"/>
    <x v="0"/>
    <n v="120"/>
    <n v="110760"/>
    <x v="1"/>
    <n v="923"/>
    <n v="115375"/>
    <n v="1153.75"/>
    <x v="1"/>
    <n v="114221.25"/>
    <n v="3461.25"/>
    <x v="1"/>
    <n v="3.125E-2"/>
    <n v="110760"/>
    <n v="0"/>
    <n v="120"/>
  </r>
  <r>
    <x v="1"/>
    <x v="2"/>
    <x v="1"/>
    <x v="4"/>
    <x v="0"/>
    <n v="3"/>
    <n v="89100"/>
    <x v="1"/>
    <n v="742.5"/>
    <n v="92812.5"/>
    <n v="1856.25"/>
    <x v="1"/>
    <n v="90956.25"/>
    <n v="1856.25"/>
    <x v="1"/>
    <n v="2.0833333333333332E-2"/>
    <n v="2227.5"/>
    <n v="86872.5"/>
    <n v="3"/>
  </r>
  <r>
    <x v="14"/>
    <x v="0"/>
    <x v="1"/>
    <x v="4"/>
    <x v="0"/>
    <n v="10"/>
    <n v="327480"/>
    <x v="1"/>
    <n v="2729"/>
    <n v="341125"/>
    <n v="6822.5"/>
    <x v="1"/>
    <n v="334302.5"/>
    <n v="6822.5"/>
    <x v="1"/>
    <n v="2.0833333333333332E-2"/>
    <n v="27290"/>
    <n v="300190"/>
    <n v="10"/>
  </r>
  <r>
    <x v="14"/>
    <x v="5"/>
    <x v="1"/>
    <x v="4"/>
    <x v="0"/>
    <n v="250"/>
    <n v="327480"/>
    <x v="1"/>
    <n v="2729"/>
    <n v="341125"/>
    <n v="6822.5"/>
    <x v="1"/>
    <n v="334302.5"/>
    <n v="6822.5"/>
    <x v="1"/>
    <n v="2.0833333333333332E-2"/>
    <n v="682250"/>
    <n v="-354770"/>
    <n v="120"/>
  </r>
  <r>
    <x v="8"/>
    <x v="0"/>
    <x v="1"/>
    <x v="4"/>
    <x v="0"/>
    <n v="10"/>
    <n v="212880"/>
    <x v="1"/>
    <n v="1774"/>
    <n v="221750"/>
    <n v="6652.5"/>
    <x v="1"/>
    <n v="215097.5"/>
    <n v="2217.5"/>
    <x v="1"/>
    <n v="1.0416666666666666E-2"/>
    <n v="17740"/>
    <n v="195140"/>
    <n v="10"/>
  </r>
  <r>
    <x v="13"/>
    <x v="0"/>
    <x v="1"/>
    <x v="4"/>
    <x v="0"/>
    <n v="10"/>
    <n v="241080"/>
    <x v="1"/>
    <n v="2009"/>
    <n v="251125"/>
    <n v="7533.75"/>
    <x v="1"/>
    <n v="243591.25"/>
    <n v="2511.25"/>
    <x v="1"/>
    <n v="1.0416666666666666E-2"/>
    <n v="20090"/>
    <n v="220990"/>
    <n v="10"/>
  </r>
  <r>
    <x v="13"/>
    <x v="4"/>
    <x v="1"/>
    <x v="4"/>
    <x v="0"/>
    <n v="120"/>
    <n v="241080"/>
    <x v="1"/>
    <n v="2009"/>
    <n v="251125"/>
    <n v="7533.75"/>
    <x v="1"/>
    <n v="243591.25"/>
    <n v="2511.25"/>
    <x v="1"/>
    <n v="1.0416666666666666E-2"/>
    <n v="241080"/>
    <n v="0"/>
    <n v="120"/>
  </r>
  <r>
    <x v="3"/>
    <x v="4"/>
    <x v="1"/>
    <x v="4"/>
    <x v="0"/>
    <n v="120"/>
    <n v="114240"/>
    <x v="1"/>
    <n v="952"/>
    <n v="119000"/>
    <n v="7140"/>
    <x v="2"/>
    <n v="111860"/>
    <n v="-2380"/>
    <x v="1"/>
    <n v="-2.0833333333333332E-2"/>
    <n v="114240"/>
    <n v="0"/>
    <n v="120"/>
  </r>
  <r>
    <x v="15"/>
    <x v="1"/>
    <x v="1"/>
    <x v="4"/>
    <x v="0"/>
    <n v="260"/>
    <n v="197400"/>
    <x v="1"/>
    <n v="1645"/>
    <n v="205625"/>
    <n v="14393.75"/>
    <x v="2"/>
    <n v="191231.25"/>
    <n v="-6168.75"/>
    <x v="1"/>
    <n v="-3.125E-2"/>
    <n v="427700"/>
    <n v="-230300"/>
    <n v="120"/>
  </r>
  <r>
    <x v="6"/>
    <x v="4"/>
    <x v="1"/>
    <x v="4"/>
    <x v="0"/>
    <n v="120"/>
    <n v="68040"/>
    <x v="1"/>
    <n v="567"/>
    <n v="70875"/>
    <n v="6378.75"/>
    <x v="2"/>
    <n v="64496.25"/>
    <n v="-3543.75"/>
    <x v="1"/>
    <n v="-5.2083333333333336E-2"/>
    <n v="68040"/>
    <n v="0"/>
    <n v="120"/>
  </r>
  <r>
    <x v="12"/>
    <x v="4"/>
    <x v="1"/>
    <x v="4"/>
    <x v="0"/>
    <n v="120"/>
    <n v="229920"/>
    <x v="1"/>
    <n v="1916"/>
    <n v="239500"/>
    <n v="23950"/>
    <x v="3"/>
    <n v="215550"/>
    <n v="-14370"/>
    <x v="1"/>
    <n v="-6.25E-2"/>
    <n v="229920"/>
    <n v="0"/>
    <n v="120"/>
  </r>
  <r>
    <x v="9"/>
    <x v="5"/>
    <x v="1"/>
    <x v="4"/>
    <x v="0"/>
    <n v="250"/>
    <n v="303480"/>
    <x v="1"/>
    <n v="2529"/>
    <n v="316125"/>
    <n v="31612.5"/>
    <x v="3"/>
    <n v="284512.5"/>
    <n v="-18967.5"/>
    <x v="1"/>
    <n v="-6.25E-2"/>
    <n v="632250"/>
    <n v="-328770"/>
    <n v="120"/>
  </r>
  <r>
    <x v="4"/>
    <x v="2"/>
    <x v="1"/>
    <x v="4"/>
    <x v="0"/>
    <n v="3"/>
    <n v="289920"/>
    <x v="1"/>
    <n v="2416"/>
    <n v="302000"/>
    <n v="36240"/>
    <x v="3"/>
    <n v="265760"/>
    <n v="-24160"/>
    <x v="1"/>
    <n v="-8.3333333333333329E-2"/>
    <n v="7248"/>
    <n v="282672"/>
    <n v="3"/>
  </r>
  <r>
    <x v="5"/>
    <x v="0"/>
    <x v="1"/>
    <x v="4"/>
    <x v="0"/>
    <n v="10"/>
    <n v="189960"/>
    <x v="1"/>
    <n v="1583"/>
    <n v="197875"/>
    <n v="25723.75"/>
    <x v="3"/>
    <n v="172151.25"/>
    <n v="-17808.75"/>
    <x v="1"/>
    <n v="-9.375E-2"/>
    <n v="15830"/>
    <n v="174130"/>
    <n v="10"/>
  </r>
  <r>
    <x v="5"/>
    <x v="5"/>
    <x v="1"/>
    <x v="4"/>
    <x v="0"/>
    <n v="250"/>
    <n v="189960"/>
    <x v="1"/>
    <n v="1583"/>
    <n v="197875"/>
    <n v="25723.75"/>
    <x v="3"/>
    <n v="172151.25"/>
    <n v="-17808.75"/>
    <x v="1"/>
    <n v="-9.375E-2"/>
    <n v="395750"/>
    <n v="-205790"/>
    <n v="120"/>
  </r>
  <r>
    <x v="10"/>
    <x v="1"/>
    <x v="1"/>
    <x v="4"/>
    <x v="0"/>
    <n v="260"/>
    <n v="199080"/>
    <x v="1"/>
    <n v="1659"/>
    <n v="207375"/>
    <n v="26958.75"/>
    <x v="3"/>
    <n v="180416.25"/>
    <n v="-18663.75"/>
    <x v="1"/>
    <n v="-9.375E-2"/>
    <n v="431340"/>
    <n v="-232260"/>
    <n v="120"/>
  </r>
  <r>
    <x v="0"/>
    <x v="5"/>
    <x v="1"/>
    <x v="4"/>
    <x v="0"/>
    <n v="250"/>
    <n v="354480"/>
    <x v="1"/>
    <n v="2954"/>
    <n v="369250"/>
    <n v="55387.5"/>
    <x v="3"/>
    <n v="313862.5"/>
    <n v="-40617.5"/>
    <x v="1"/>
    <n v="-0.11458333333333333"/>
    <n v="738500"/>
    <n v="-384020"/>
    <n v="120"/>
  </r>
  <r>
    <x v="13"/>
    <x v="0"/>
    <x v="2"/>
    <x v="0"/>
    <x v="0"/>
    <n v="10"/>
    <n v="5715"/>
    <x v="2"/>
    <n v="1143"/>
    <n v="8001"/>
    <n v="0"/>
    <x v="0"/>
    <n v="8001"/>
    <n v="2286"/>
    <x v="0"/>
    <n v="0.4"/>
    <n v="11430"/>
    <n v="-5715"/>
    <n v="5"/>
  </r>
  <r>
    <x v="13"/>
    <x v="1"/>
    <x v="2"/>
    <x v="0"/>
    <x v="0"/>
    <n v="260"/>
    <n v="5715"/>
    <x v="2"/>
    <n v="1143"/>
    <n v="8001"/>
    <n v="0"/>
    <x v="0"/>
    <n v="8001"/>
    <n v="2286"/>
    <x v="0"/>
    <n v="0.4"/>
    <n v="297180"/>
    <n v="-291465"/>
    <n v="5"/>
  </r>
  <r>
    <x v="7"/>
    <x v="2"/>
    <x v="2"/>
    <x v="0"/>
    <x v="0"/>
    <n v="3"/>
    <n v="12645"/>
    <x v="2"/>
    <n v="2529"/>
    <n v="17703"/>
    <n v="177.03"/>
    <x v="1"/>
    <n v="17525.97"/>
    <n v="4880.9700000000012"/>
    <x v="0"/>
    <n v="0.38600000000000007"/>
    <n v="7587"/>
    <n v="5058"/>
    <n v="3"/>
  </r>
  <r>
    <x v="1"/>
    <x v="0"/>
    <x v="2"/>
    <x v="0"/>
    <x v="0"/>
    <n v="10"/>
    <n v="22462.5"/>
    <x v="2"/>
    <n v="4492.5"/>
    <n v="31447.5"/>
    <n v="314.48"/>
    <x v="1"/>
    <n v="31133.03"/>
    <n v="8670.5299999999988"/>
    <x v="0"/>
    <n v="0.38600022259321087"/>
    <n v="44925"/>
    <n v="-22462.5"/>
    <n v="5"/>
  </r>
  <r>
    <x v="13"/>
    <x v="3"/>
    <x v="2"/>
    <x v="0"/>
    <x v="0"/>
    <n v="5"/>
    <n v="15660"/>
    <x v="3"/>
    <n v="1566"/>
    <n v="31320"/>
    <n v="626.4"/>
    <x v="1"/>
    <n v="30693.599999999999"/>
    <n v="15033.599999999999"/>
    <x v="0"/>
    <n v="0.95999999999999985"/>
    <n v="7830"/>
    <n v="7830"/>
    <n v="5"/>
  </r>
  <r>
    <x v="12"/>
    <x v="0"/>
    <x v="2"/>
    <x v="0"/>
    <x v="0"/>
    <n v="10"/>
    <n v="10065"/>
    <x v="2"/>
    <n v="2013"/>
    <n v="14091"/>
    <n v="281.82"/>
    <x v="1"/>
    <n v="13809.18"/>
    <n v="3744.1800000000003"/>
    <x v="0"/>
    <n v="0.37200000000000005"/>
    <n v="20130"/>
    <n v="-10065"/>
    <n v="5"/>
  </r>
  <r>
    <x v="13"/>
    <x v="4"/>
    <x v="2"/>
    <x v="0"/>
    <x v="0"/>
    <n v="120"/>
    <n v="15660"/>
    <x v="3"/>
    <n v="1566"/>
    <n v="31320"/>
    <n v="626.4"/>
    <x v="1"/>
    <n v="30693.599999999999"/>
    <n v="15033.599999999999"/>
    <x v="0"/>
    <n v="0.95999999999999985"/>
    <n v="187920"/>
    <n v="-172260"/>
    <n v="10"/>
  </r>
  <r>
    <x v="12"/>
    <x v="5"/>
    <x v="2"/>
    <x v="0"/>
    <x v="0"/>
    <n v="250"/>
    <n v="69160"/>
    <x v="4"/>
    <n v="266"/>
    <n v="93100"/>
    <n v="1862"/>
    <x v="1"/>
    <n v="91238"/>
    <n v="22078"/>
    <x v="0"/>
    <n v="0.31923076923076921"/>
    <n v="66500"/>
    <n v="2660"/>
    <n v="250"/>
  </r>
  <r>
    <x v="9"/>
    <x v="1"/>
    <x v="2"/>
    <x v="0"/>
    <x v="0"/>
    <n v="260"/>
    <n v="12360"/>
    <x v="3"/>
    <n v="1236"/>
    <n v="24720"/>
    <n v="494.4"/>
    <x v="1"/>
    <n v="24225.599999999999"/>
    <n v="11865.599999999999"/>
    <x v="0"/>
    <n v="0.95999999999999985"/>
    <n v="321360"/>
    <n v="-309000"/>
    <n v="10"/>
  </r>
  <r>
    <x v="4"/>
    <x v="4"/>
    <x v="2"/>
    <x v="0"/>
    <x v="0"/>
    <n v="120"/>
    <n v="7360"/>
    <x v="3"/>
    <n v="736"/>
    <n v="14720"/>
    <n v="588.79999999999995"/>
    <x v="1"/>
    <n v="14131.2"/>
    <n v="6771.2000000000007"/>
    <x v="0"/>
    <n v="0.92000000000000015"/>
    <n v="88320"/>
    <n v="-80960"/>
    <n v="10"/>
  </r>
  <r>
    <x v="14"/>
    <x v="2"/>
    <x v="2"/>
    <x v="0"/>
    <x v="0"/>
    <n v="3"/>
    <n v="71240"/>
    <x v="4"/>
    <n v="274"/>
    <n v="95900"/>
    <n v="3836"/>
    <x v="1"/>
    <n v="92064"/>
    <n v="20824"/>
    <x v="0"/>
    <n v="0.29230769230769232"/>
    <n v="822"/>
    <n v="70418"/>
    <n v="3"/>
  </r>
  <r>
    <x v="7"/>
    <x v="0"/>
    <x v="2"/>
    <x v="0"/>
    <x v="0"/>
    <n v="10"/>
    <n v="897000"/>
    <x v="4"/>
    <n v="3450"/>
    <n v="1207500"/>
    <n v="48300"/>
    <x v="1"/>
    <n v="1159200"/>
    <n v="262200"/>
    <x v="0"/>
    <n v="0.29230769230769232"/>
    <n v="34500"/>
    <n v="862500"/>
    <n v="10"/>
  </r>
  <r>
    <x v="6"/>
    <x v="0"/>
    <x v="2"/>
    <x v="0"/>
    <x v="0"/>
    <n v="10"/>
    <n v="10560"/>
    <x v="3"/>
    <n v="1056"/>
    <n v="21120"/>
    <n v="844.8"/>
    <x v="1"/>
    <n v="20275.2"/>
    <n v="9715.2000000000007"/>
    <x v="0"/>
    <n v="0.92"/>
    <n v="10560"/>
    <n v="0"/>
    <n v="10"/>
  </r>
  <r>
    <x v="14"/>
    <x v="0"/>
    <x v="2"/>
    <x v="0"/>
    <x v="0"/>
    <n v="10"/>
    <n v="71240"/>
    <x v="4"/>
    <n v="274"/>
    <n v="95900"/>
    <n v="3836"/>
    <x v="1"/>
    <n v="92064"/>
    <n v="20824"/>
    <x v="0"/>
    <n v="0.29230769230769232"/>
    <n v="2740"/>
    <n v="68500"/>
    <n v="10"/>
  </r>
  <r>
    <x v="4"/>
    <x v="5"/>
    <x v="2"/>
    <x v="0"/>
    <x v="0"/>
    <n v="250"/>
    <n v="90740"/>
    <x v="4"/>
    <n v="349"/>
    <n v="122150"/>
    <n v="4886"/>
    <x v="1"/>
    <n v="117264"/>
    <n v="26524"/>
    <x v="0"/>
    <n v="0.29230769230769232"/>
    <n v="87250"/>
    <n v="3490"/>
    <n v="250"/>
  </r>
  <r>
    <x v="14"/>
    <x v="2"/>
    <x v="2"/>
    <x v="0"/>
    <x v="0"/>
    <n v="3"/>
    <n v="2850"/>
    <x v="2"/>
    <n v="570"/>
    <n v="3990"/>
    <n v="199.5"/>
    <x v="2"/>
    <n v="3790.5"/>
    <n v="940.5"/>
    <x v="0"/>
    <n v="0.33"/>
    <n v="1710"/>
    <n v="1140"/>
    <n v="3"/>
  </r>
  <r>
    <x v="15"/>
    <x v="0"/>
    <x v="2"/>
    <x v="0"/>
    <x v="0"/>
    <n v="10"/>
    <n v="11635"/>
    <x v="2"/>
    <n v="2327"/>
    <n v="16289"/>
    <n v="814.45"/>
    <x v="2"/>
    <n v="15474.55"/>
    <n v="3839.5499999999993"/>
    <x v="0"/>
    <n v="0.32999999999999996"/>
    <n v="23270"/>
    <n v="-11635"/>
    <n v="5"/>
  </r>
  <r>
    <x v="5"/>
    <x v="0"/>
    <x v="2"/>
    <x v="0"/>
    <x v="0"/>
    <n v="10"/>
    <n v="156520"/>
    <x v="4"/>
    <n v="602"/>
    <n v="210700"/>
    <n v="10535"/>
    <x v="2"/>
    <n v="200165"/>
    <n v="43645"/>
    <x v="0"/>
    <n v="0.27884615384615385"/>
    <n v="6020"/>
    <n v="150500"/>
    <n v="10"/>
  </r>
  <r>
    <x v="14"/>
    <x v="0"/>
    <x v="2"/>
    <x v="0"/>
    <x v="0"/>
    <n v="10"/>
    <n v="26630"/>
    <x v="3"/>
    <n v="2663"/>
    <n v="53260"/>
    <n v="2663"/>
    <x v="2"/>
    <n v="50597"/>
    <n v="23967"/>
    <x v="0"/>
    <n v="0.9"/>
    <n v="26630"/>
    <n v="0"/>
    <n v="10"/>
  </r>
  <r>
    <x v="5"/>
    <x v="4"/>
    <x v="2"/>
    <x v="0"/>
    <x v="0"/>
    <n v="120"/>
    <n v="156520"/>
    <x v="4"/>
    <n v="602"/>
    <n v="210700"/>
    <n v="10535"/>
    <x v="2"/>
    <n v="200165"/>
    <n v="43645"/>
    <x v="0"/>
    <n v="0.27884615384615385"/>
    <n v="72240"/>
    <n v="84280"/>
    <n v="120"/>
  </r>
  <r>
    <x v="2"/>
    <x v="4"/>
    <x v="2"/>
    <x v="0"/>
    <x v="0"/>
    <n v="120"/>
    <n v="28320"/>
    <x v="3"/>
    <n v="2832"/>
    <n v="56640"/>
    <n v="2832"/>
    <x v="2"/>
    <n v="53808"/>
    <n v="25488"/>
    <x v="0"/>
    <n v="0.9"/>
    <n v="339840"/>
    <n v="-311520"/>
    <n v="10"/>
  </r>
  <r>
    <x v="0"/>
    <x v="5"/>
    <x v="2"/>
    <x v="0"/>
    <x v="0"/>
    <n v="250"/>
    <n v="12650"/>
    <x v="3"/>
    <n v="1265"/>
    <n v="25300"/>
    <n v="1265"/>
    <x v="2"/>
    <n v="24035"/>
    <n v="11385"/>
    <x v="0"/>
    <n v="0.9"/>
    <n v="316250"/>
    <n v="-303600"/>
    <n v="10"/>
  </r>
  <r>
    <x v="14"/>
    <x v="5"/>
    <x v="2"/>
    <x v="0"/>
    <x v="0"/>
    <n v="250"/>
    <n v="26630"/>
    <x v="3"/>
    <n v="2663"/>
    <n v="53260"/>
    <n v="2663"/>
    <x v="2"/>
    <n v="50597"/>
    <n v="23967"/>
    <x v="0"/>
    <n v="0.9"/>
    <n v="665750"/>
    <n v="-639120"/>
    <n v="10"/>
  </r>
  <r>
    <x v="14"/>
    <x v="5"/>
    <x v="2"/>
    <x v="0"/>
    <x v="0"/>
    <n v="250"/>
    <n v="2850"/>
    <x v="2"/>
    <n v="570"/>
    <n v="3990"/>
    <n v="199.5"/>
    <x v="2"/>
    <n v="3790.5"/>
    <n v="940.5"/>
    <x v="0"/>
    <n v="0.33"/>
    <n v="142500"/>
    <n v="-139650"/>
    <n v="5"/>
  </r>
  <r>
    <x v="10"/>
    <x v="2"/>
    <x v="2"/>
    <x v="0"/>
    <x v="0"/>
    <n v="3"/>
    <n v="11175"/>
    <x v="3"/>
    <n v="1117.5"/>
    <n v="22350"/>
    <n v="1341"/>
    <x v="2"/>
    <n v="21009"/>
    <n v="9834"/>
    <x v="0"/>
    <n v="0.88"/>
    <n v="3352.5"/>
    <n v="7822.5"/>
    <n v="3"/>
  </r>
  <r>
    <x v="0"/>
    <x v="2"/>
    <x v="2"/>
    <x v="0"/>
    <x v="0"/>
    <n v="3"/>
    <n v="1315"/>
    <x v="2"/>
    <n v="263"/>
    <n v="1841"/>
    <n v="110.46"/>
    <x v="2"/>
    <n v="1730.54"/>
    <n v="415.53999999999996"/>
    <x v="0"/>
    <n v="0.31599999999999995"/>
    <n v="789"/>
    <n v="526"/>
    <n v="3"/>
  </r>
  <r>
    <x v="11"/>
    <x v="0"/>
    <x v="2"/>
    <x v="0"/>
    <x v="0"/>
    <n v="10"/>
    <n v="189020"/>
    <x v="4"/>
    <n v="727"/>
    <n v="254450"/>
    <n v="15267"/>
    <x v="2"/>
    <n v="239183"/>
    <n v="50163"/>
    <x v="0"/>
    <n v="0.26538461538461539"/>
    <n v="7270"/>
    <n v="181750"/>
    <n v="10"/>
  </r>
  <r>
    <x v="11"/>
    <x v="1"/>
    <x v="2"/>
    <x v="0"/>
    <x v="0"/>
    <n v="260"/>
    <n v="189020"/>
    <x v="4"/>
    <n v="727"/>
    <n v="254450"/>
    <n v="15267"/>
    <x v="2"/>
    <n v="239183"/>
    <n v="50163"/>
    <x v="0"/>
    <n v="0.26538461538461539"/>
    <n v="189020"/>
    <n v="0"/>
    <n v="260"/>
  </r>
  <r>
    <x v="9"/>
    <x v="4"/>
    <x v="2"/>
    <x v="0"/>
    <x v="0"/>
    <n v="120"/>
    <n v="2735"/>
    <x v="2"/>
    <n v="547"/>
    <n v="3829"/>
    <n v="268.02999999999997"/>
    <x v="2"/>
    <n v="3560.97"/>
    <n v="825.9699999999998"/>
    <x v="0"/>
    <n v="0.30199999999999994"/>
    <n v="65640"/>
    <n v="-62905"/>
    <n v="5"/>
  </r>
  <r>
    <x v="8"/>
    <x v="2"/>
    <x v="2"/>
    <x v="0"/>
    <x v="0"/>
    <n v="3"/>
    <n v="457860"/>
    <x v="4"/>
    <n v="1761"/>
    <n v="616350"/>
    <n v="43144.5"/>
    <x v="2"/>
    <n v="573205.5"/>
    <n v="115345.5"/>
    <x v="0"/>
    <n v="0.25192307692307692"/>
    <n v="5283"/>
    <n v="452577"/>
    <n v="3"/>
  </r>
  <r>
    <x v="12"/>
    <x v="4"/>
    <x v="2"/>
    <x v="0"/>
    <x v="0"/>
    <n v="120"/>
    <n v="14210"/>
    <x v="3"/>
    <n v="1421"/>
    <n v="28420"/>
    <n v="1989.4"/>
    <x v="2"/>
    <n v="26430.6"/>
    <n v="12220.599999999999"/>
    <x v="0"/>
    <n v="0.85999999999999988"/>
    <n v="170520"/>
    <n v="-156310"/>
    <n v="10"/>
  </r>
  <r>
    <x v="5"/>
    <x v="3"/>
    <x v="2"/>
    <x v="0"/>
    <x v="0"/>
    <n v="5"/>
    <n v="12820"/>
    <x v="3"/>
    <n v="1282"/>
    <n v="25640"/>
    <n v="2051.1999999999998"/>
    <x v="2"/>
    <n v="23588.799999999999"/>
    <n v="10768.8"/>
    <x v="0"/>
    <n v="0.84"/>
    <n v="6410"/>
    <n v="6410"/>
    <n v="5"/>
  </r>
  <r>
    <x v="5"/>
    <x v="1"/>
    <x v="2"/>
    <x v="0"/>
    <x v="0"/>
    <n v="260"/>
    <n v="12820"/>
    <x v="3"/>
    <n v="1282"/>
    <n v="25640"/>
    <n v="2051.1999999999998"/>
    <x v="2"/>
    <n v="23588.799999999999"/>
    <n v="10768.8"/>
    <x v="0"/>
    <n v="0.84"/>
    <n v="333320"/>
    <n v="-320500"/>
    <n v="10"/>
  </r>
  <r>
    <x v="2"/>
    <x v="0"/>
    <x v="2"/>
    <x v="0"/>
    <x v="0"/>
    <n v="10"/>
    <n v="3390"/>
    <x v="2"/>
    <n v="678"/>
    <n v="4746"/>
    <n v="379.68"/>
    <x v="2"/>
    <n v="4366.32"/>
    <n v="976.31999999999971"/>
    <x v="0"/>
    <n v="0.28799999999999992"/>
    <n v="6780"/>
    <n v="-3390"/>
    <n v="5"/>
  </r>
  <r>
    <x v="5"/>
    <x v="4"/>
    <x v="2"/>
    <x v="0"/>
    <x v="0"/>
    <n v="120"/>
    <n v="14535"/>
    <x v="2"/>
    <n v="2907"/>
    <n v="20349"/>
    <n v="1627.92"/>
    <x v="2"/>
    <n v="18721.080000000002"/>
    <n v="4186.0800000000017"/>
    <x v="0"/>
    <n v="0.28800000000000014"/>
    <n v="348840"/>
    <n v="-334305"/>
    <n v="5"/>
  </r>
  <r>
    <x v="5"/>
    <x v="1"/>
    <x v="2"/>
    <x v="0"/>
    <x v="0"/>
    <n v="260"/>
    <n v="14535"/>
    <x v="2"/>
    <n v="2907"/>
    <n v="20349"/>
    <n v="1627.92"/>
    <x v="2"/>
    <n v="18721.080000000002"/>
    <n v="4186.0800000000017"/>
    <x v="0"/>
    <n v="0.28800000000000014"/>
    <n v="755820"/>
    <n v="-741285"/>
    <n v="5"/>
  </r>
  <r>
    <x v="7"/>
    <x v="5"/>
    <x v="2"/>
    <x v="0"/>
    <x v="0"/>
    <n v="250"/>
    <n v="4365"/>
    <x v="3"/>
    <n v="436.5"/>
    <n v="8730"/>
    <n v="698.4"/>
    <x v="2"/>
    <n v="8031.6"/>
    <n v="3666.6000000000004"/>
    <x v="0"/>
    <n v="0.84000000000000008"/>
    <n v="109125"/>
    <n v="-104760"/>
    <n v="10"/>
  </r>
  <r>
    <x v="1"/>
    <x v="5"/>
    <x v="2"/>
    <x v="0"/>
    <x v="0"/>
    <n v="250"/>
    <n v="351390"/>
    <x v="4"/>
    <n v="1351.5"/>
    <n v="473025"/>
    <n v="42572.25"/>
    <x v="2"/>
    <n v="430452.75"/>
    <n v="79062.75"/>
    <x v="0"/>
    <n v="0.22500000000000001"/>
    <n v="337875"/>
    <n v="13515"/>
    <n v="250"/>
  </r>
  <r>
    <x v="6"/>
    <x v="1"/>
    <x v="2"/>
    <x v="0"/>
    <x v="0"/>
    <n v="260"/>
    <n v="538460"/>
    <x v="4"/>
    <n v="2071"/>
    <n v="724850"/>
    <n v="65236.5"/>
    <x v="2"/>
    <n v="659613.5"/>
    <n v="121153.5"/>
    <x v="0"/>
    <n v="0.22500000000000001"/>
    <n v="538460"/>
    <n v="0"/>
    <n v="260"/>
  </r>
  <r>
    <x v="8"/>
    <x v="0"/>
    <x v="2"/>
    <x v="0"/>
    <x v="0"/>
    <n v="10"/>
    <n v="9730"/>
    <x v="3"/>
    <n v="973"/>
    <n v="19460"/>
    <n v="1751.4"/>
    <x v="2"/>
    <n v="17708.599999999999"/>
    <n v="7978.5999999999985"/>
    <x v="0"/>
    <n v="0.81999999999999984"/>
    <n v="9730"/>
    <n v="0"/>
    <n v="10"/>
  </r>
  <r>
    <x v="6"/>
    <x v="3"/>
    <x v="2"/>
    <x v="0"/>
    <x v="0"/>
    <n v="5"/>
    <n v="11640"/>
    <x v="2"/>
    <n v="2328"/>
    <n v="16296"/>
    <n v="1629.6"/>
    <x v="3"/>
    <n v="14666.4"/>
    <n v="3026.3999999999996"/>
    <x v="0"/>
    <n v="0.25999999999999995"/>
    <n v="11640"/>
    <n v="0"/>
    <n v="5"/>
  </r>
  <r>
    <x v="15"/>
    <x v="3"/>
    <x v="2"/>
    <x v="0"/>
    <x v="0"/>
    <n v="5"/>
    <n v="601380"/>
    <x v="4"/>
    <n v="2313"/>
    <n v="809550"/>
    <n v="80955"/>
    <x v="3"/>
    <n v="728595"/>
    <n v="127215"/>
    <x v="0"/>
    <n v="0.21153846153846154"/>
    <n v="11565"/>
    <n v="589815"/>
    <n v="5"/>
  </r>
  <r>
    <x v="2"/>
    <x v="5"/>
    <x v="2"/>
    <x v="0"/>
    <x v="0"/>
    <n v="250"/>
    <n v="729820"/>
    <x v="4"/>
    <n v="2807"/>
    <n v="982450"/>
    <n v="98245"/>
    <x v="3"/>
    <n v="884205"/>
    <n v="154385"/>
    <x v="0"/>
    <n v="0.21153846153846154"/>
    <n v="701750"/>
    <n v="28070"/>
    <n v="250"/>
  </r>
  <r>
    <x v="8"/>
    <x v="5"/>
    <x v="2"/>
    <x v="0"/>
    <x v="0"/>
    <n v="250"/>
    <n v="7895"/>
    <x v="2"/>
    <n v="1579"/>
    <n v="11053"/>
    <n v="1215.83"/>
    <x v="3"/>
    <n v="9837.17"/>
    <n v="1942.17"/>
    <x v="0"/>
    <n v="0.246"/>
    <n v="394750"/>
    <n v="-386855"/>
    <n v="5"/>
  </r>
  <r>
    <x v="4"/>
    <x v="0"/>
    <x v="2"/>
    <x v="0"/>
    <x v="0"/>
    <n v="10"/>
    <n v="1900"/>
    <x v="2"/>
    <n v="380"/>
    <n v="2660"/>
    <n v="292.60000000000002"/>
    <x v="3"/>
    <n v="2367.4"/>
    <n v="467.40000000000009"/>
    <x v="0"/>
    <n v="0.24600000000000005"/>
    <n v="3800"/>
    <n v="-1900"/>
    <n v="5"/>
  </r>
  <r>
    <x v="13"/>
    <x v="4"/>
    <x v="2"/>
    <x v="0"/>
    <x v="0"/>
    <n v="120"/>
    <n v="256360"/>
    <x v="4"/>
    <n v="986"/>
    <n v="345100"/>
    <n v="41412"/>
    <x v="3"/>
    <n v="303688"/>
    <n v="47328"/>
    <x v="1"/>
    <n v="0.18461538461538463"/>
    <n v="118320"/>
    <n v="138040"/>
    <n v="120"/>
  </r>
  <r>
    <x v="13"/>
    <x v="5"/>
    <x v="2"/>
    <x v="0"/>
    <x v="0"/>
    <n v="250"/>
    <n v="256360"/>
    <x v="4"/>
    <n v="986"/>
    <n v="345100"/>
    <n v="41412"/>
    <x v="3"/>
    <n v="303688"/>
    <n v="47328"/>
    <x v="1"/>
    <n v="0.18461538461538463"/>
    <n v="246500"/>
    <n v="9860"/>
    <n v="250"/>
  </r>
  <r>
    <x v="3"/>
    <x v="1"/>
    <x v="2"/>
    <x v="0"/>
    <x v="0"/>
    <n v="260"/>
    <n v="70200"/>
    <x v="4"/>
    <n v="270"/>
    <n v="94500"/>
    <n v="11340"/>
    <x v="3"/>
    <n v="83160"/>
    <n v="12960"/>
    <x v="1"/>
    <n v="0.18461538461538463"/>
    <n v="70200"/>
    <n v="0"/>
    <n v="260"/>
  </r>
  <r>
    <x v="10"/>
    <x v="3"/>
    <x v="2"/>
    <x v="0"/>
    <x v="0"/>
    <n v="5"/>
    <n v="255450"/>
    <x v="4"/>
    <n v="982.5"/>
    <n v="343875"/>
    <n v="44703.75"/>
    <x v="3"/>
    <n v="299171.25"/>
    <n v="43721.25"/>
    <x v="1"/>
    <n v="0.17115384615384616"/>
    <n v="4912.5"/>
    <n v="250537.5"/>
    <n v="5"/>
  </r>
  <r>
    <x v="3"/>
    <x v="3"/>
    <x v="2"/>
    <x v="0"/>
    <x v="0"/>
    <n v="5"/>
    <n v="6490"/>
    <x v="2"/>
    <n v="1298"/>
    <n v="9086"/>
    <n v="1181.18"/>
    <x v="3"/>
    <n v="7904.82"/>
    <n v="1414.8199999999997"/>
    <x v="0"/>
    <n v="0.21799999999999994"/>
    <n v="6490"/>
    <n v="0"/>
    <n v="5"/>
  </r>
  <r>
    <x v="10"/>
    <x v="0"/>
    <x v="2"/>
    <x v="0"/>
    <x v="0"/>
    <n v="10"/>
    <n v="7192.5"/>
    <x v="2"/>
    <n v="1438.5"/>
    <n v="10069.5"/>
    <n v="1309.04"/>
    <x v="3"/>
    <n v="8760.4699999999993"/>
    <n v="1567.9699999999993"/>
    <x v="0"/>
    <n v="0.21800069516857828"/>
    <n v="14385"/>
    <n v="-7192.5"/>
    <n v="5"/>
  </r>
  <r>
    <x v="3"/>
    <x v="0"/>
    <x v="2"/>
    <x v="0"/>
    <x v="0"/>
    <n v="10"/>
    <n v="26410"/>
    <x v="3"/>
    <n v="2641"/>
    <n v="52820"/>
    <n v="6866.6"/>
    <x v="3"/>
    <n v="45953.4"/>
    <n v="19543.400000000001"/>
    <x v="0"/>
    <n v="0.7400000000000001"/>
    <n v="26410"/>
    <n v="0"/>
    <n v="10"/>
  </r>
  <r>
    <x v="15"/>
    <x v="2"/>
    <x v="2"/>
    <x v="0"/>
    <x v="0"/>
    <n v="3"/>
    <n v="17430"/>
    <x v="3"/>
    <n v="1743"/>
    <n v="34860"/>
    <n v="4880.3999999999996"/>
    <x v="3"/>
    <n v="29979.599999999999"/>
    <n v="12549.599999999999"/>
    <x v="0"/>
    <n v="0.71999999999999986"/>
    <n v="5229"/>
    <n v="12201"/>
    <n v="3"/>
  </r>
  <r>
    <x v="11"/>
    <x v="2"/>
    <x v="2"/>
    <x v="0"/>
    <x v="0"/>
    <n v="3"/>
    <n v="14980"/>
    <x v="2"/>
    <n v="2996"/>
    <n v="20972"/>
    <n v="2936.08"/>
    <x v="3"/>
    <n v="18035.919999999998"/>
    <n v="3055.9199999999983"/>
    <x v="0"/>
    <n v="0.20399999999999988"/>
    <n v="8988"/>
    <n v="5992"/>
    <n v="3"/>
  </r>
  <r>
    <x v="11"/>
    <x v="3"/>
    <x v="2"/>
    <x v="0"/>
    <x v="0"/>
    <n v="5"/>
    <n v="14980"/>
    <x v="2"/>
    <n v="2996"/>
    <n v="20972"/>
    <n v="2936.08"/>
    <x v="3"/>
    <n v="18035.919999999998"/>
    <n v="3055.9199999999983"/>
    <x v="0"/>
    <n v="0.20399999999999988"/>
    <n v="14980"/>
    <n v="0"/>
    <n v="5"/>
  </r>
  <r>
    <x v="9"/>
    <x v="0"/>
    <x v="2"/>
    <x v="0"/>
    <x v="0"/>
    <n v="10"/>
    <n v="306020"/>
    <x v="4"/>
    <n v="1177"/>
    <n v="411950"/>
    <n v="57673"/>
    <x v="3"/>
    <n v="354277"/>
    <n v="48257"/>
    <x v="1"/>
    <n v="0.15769230769230769"/>
    <n v="11770"/>
    <n v="294250"/>
    <n v="10"/>
  </r>
  <r>
    <x v="1"/>
    <x v="4"/>
    <x v="2"/>
    <x v="0"/>
    <x v="0"/>
    <n v="120"/>
    <n v="6060"/>
    <x v="3"/>
    <n v="606"/>
    <n v="12120"/>
    <n v="1696.8"/>
    <x v="3"/>
    <n v="10423.200000000001"/>
    <n v="4363.2000000000007"/>
    <x v="0"/>
    <n v="0.72000000000000008"/>
    <n v="72720"/>
    <n v="-66660"/>
    <n v="10"/>
  </r>
  <r>
    <x v="11"/>
    <x v="0"/>
    <x v="2"/>
    <x v="0"/>
    <x v="0"/>
    <n v="10"/>
    <n v="2670"/>
    <x v="3"/>
    <n v="267"/>
    <n v="5340"/>
    <n v="801"/>
    <x v="3"/>
    <n v="4539"/>
    <n v="1869"/>
    <x v="0"/>
    <n v="0.7"/>
    <n v="2670"/>
    <n v="0"/>
    <n v="10"/>
  </r>
  <r>
    <x v="0"/>
    <x v="0"/>
    <x v="2"/>
    <x v="0"/>
    <x v="0"/>
    <n v="10"/>
    <n v="521820"/>
    <x v="4"/>
    <n v="2007"/>
    <n v="702450"/>
    <n v="105367.5"/>
    <x v="3"/>
    <n v="597082.5"/>
    <n v="75262.5"/>
    <x v="1"/>
    <n v="0.14423076923076922"/>
    <n v="20070"/>
    <n v="501750"/>
    <n v="10"/>
  </r>
  <r>
    <x v="11"/>
    <x v="5"/>
    <x v="2"/>
    <x v="0"/>
    <x v="0"/>
    <n v="250"/>
    <n v="2670"/>
    <x v="3"/>
    <n v="267"/>
    <n v="5340"/>
    <n v="801"/>
    <x v="3"/>
    <n v="4539"/>
    <n v="1869"/>
    <x v="0"/>
    <n v="0.7"/>
    <n v="66750"/>
    <n v="-64080"/>
    <n v="10"/>
  </r>
  <r>
    <x v="2"/>
    <x v="0"/>
    <x v="2"/>
    <x v="1"/>
    <x v="0"/>
    <n v="10"/>
    <n v="4415"/>
    <x v="2"/>
    <n v="883"/>
    <n v="6181"/>
    <n v="0"/>
    <x v="0"/>
    <n v="6181"/>
    <n v="1766"/>
    <x v="0"/>
    <n v="0.4"/>
    <n v="8830"/>
    <n v="-4415"/>
    <n v="5"/>
  </r>
  <r>
    <x v="10"/>
    <x v="4"/>
    <x v="2"/>
    <x v="1"/>
    <x v="0"/>
    <n v="120"/>
    <n v="7465"/>
    <x v="2"/>
    <n v="1493"/>
    <n v="10451"/>
    <n v="0"/>
    <x v="0"/>
    <n v="10451"/>
    <n v="2986"/>
    <x v="0"/>
    <n v="0.4"/>
    <n v="179160"/>
    <n v="-171695"/>
    <n v="5"/>
  </r>
  <r>
    <x v="8"/>
    <x v="2"/>
    <x v="2"/>
    <x v="1"/>
    <x v="0"/>
    <n v="3"/>
    <n v="314600"/>
    <x v="4"/>
    <n v="1210"/>
    <n v="423500"/>
    <n v="4235"/>
    <x v="1"/>
    <n v="419265"/>
    <n v="104665"/>
    <x v="0"/>
    <n v="0.33269230769230768"/>
    <n v="3630"/>
    <n v="310970"/>
    <n v="3"/>
  </r>
  <r>
    <x v="13"/>
    <x v="2"/>
    <x v="2"/>
    <x v="1"/>
    <x v="0"/>
    <n v="3"/>
    <n v="363220"/>
    <x v="4"/>
    <n v="1397"/>
    <n v="488950"/>
    <n v="4889.5"/>
    <x v="1"/>
    <n v="484060.5"/>
    <n v="120840.5"/>
    <x v="0"/>
    <n v="0.33269230769230768"/>
    <n v="4191"/>
    <n v="359029"/>
    <n v="3"/>
  </r>
  <r>
    <x v="15"/>
    <x v="4"/>
    <x v="2"/>
    <x v="1"/>
    <x v="0"/>
    <n v="120"/>
    <n v="1810"/>
    <x v="2"/>
    <n v="362"/>
    <n v="2534"/>
    <n v="25.34"/>
    <x v="1"/>
    <n v="2508.66"/>
    <n v="698.65999999999985"/>
    <x v="0"/>
    <n v="0.3859999999999999"/>
    <n v="43440"/>
    <n v="-41630"/>
    <n v="5"/>
  </r>
  <r>
    <x v="13"/>
    <x v="5"/>
    <x v="2"/>
    <x v="1"/>
    <x v="0"/>
    <n v="250"/>
    <n v="363220"/>
    <x v="4"/>
    <n v="1397"/>
    <n v="488950"/>
    <n v="4889.5"/>
    <x v="1"/>
    <n v="484060.5"/>
    <n v="120840.5"/>
    <x v="0"/>
    <n v="0.33269230769230768"/>
    <n v="349250"/>
    <n v="13970"/>
    <n v="250"/>
  </r>
  <r>
    <x v="12"/>
    <x v="4"/>
    <x v="2"/>
    <x v="1"/>
    <x v="0"/>
    <n v="120"/>
    <n v="5440"/>
    <x v="3"/>
    <n v="544"/>
    <n v="10880"/>
    <n v="217.6"/>
    <x v="1"/>
    <n v="10662.4"/>
    <n v="5222.3999999999996"/>
    <x v="0"/>
    <n v="0.96"/>
    <n v="65280"/>
    <n v="-59840"/>
    <n v="10"/>
  </r>
  <r>
    <x v="12"/>
    <x v="5"/>
    <x v="2"/>
    <x v="1"/>
    <x v="0"/>
    <n v="250"/>
    <n v="504400"/>
    <x v="4"/>
    <n v="1940"/>
    <n v="679000"/>
    <n v="13580"/>
    <x v="1"/>
    <n v="665420"/>
    <n v="161020"/>
    <x v="0"/>
    <n v="0.31923076923076921"/>
    <n v="485000"/>
    <n v="19400"/>
    <n v="250"/>
  </r>
  <r>
    <x v="2"/>
    <x v="5"/>
    <x v="2"/>
    <x v="1"/>
    <x v="0"/>
    <n v="250"/>
    <n v="426920"/>
    <x v="4"/>
    <n v="1642"/>
    <n v="574700"/>
    <n v="17241"/>
    <x v="1"/>
    <n v="557459"/>
    <n v="130539"/>
    <x v="0"/>
    <n v="0.30576923076923079"/>
    <n v="410500"/>
    <n v="16420"/>
    <n v="250"/>
  </r>
  <r>
    <x v="4"/>
    <x v="0"/>
    <x v="2"/>
    <x v="1"/>
    <x v="0"/>
    <n v="10"/>
    <n v="8800"/>
    <x v="2"/>
    <n v="1760"/>
    <n v="12320"/>
    <n v="369.6"/>
    <x v="1"/>
    <n v="11950.4"/>
    <n v="3150.3999999999996"/>
    <x v="0"/>
    <n v="0.35799999999999998"/>
    <n v="17600"/>
    <n v="-8800"/>
    <n v="5"/>
  </r>
  <r>
    <x v="3"/>
    <x v="1"/>
    <x v="2"/>
    <x v="1"/>
    <x v="0"/>
    <n v="260"/>
    <n v="484900"/>
    <x v="4"/>
    <n v="1865"/>
    <n v="652750"/>
    <n v="26110"/>
    <x v="1"/>
    <n v="626640"/>
    <n v="141740"/>
    <x v="0"/>
    <n v="0.29230769230769232"/>
    <n v="484900"/>
    <n v="0"/>
    <n v="260"/>
  </r>
  <r>
    <x v="13"/>
    <x v="0"/>
    <x v="2"/>
    <x v="1"/>
    <x v="0"/>
    <n v="10"/>
    <n v="13445"/>
    <x v="2"/>
    <n v="2689"/>
    <n v="18823"/>
    <n v="941.15"/>
    <x v="2"/>
    <n v="17881.849999999999"/>
    <n v="4436.8499999999985"/>
    <x v="0"/>
    <n v="0.3299999999999999"/>
    <n v="26890"/>
    <n v="-13445"/>
    <n v="5"/>
  </r>
  <r>
    <x v="13"/>
    <x v="5"/>
    <x v="2"/>
    <x v="1"/>
    <x v="0"/>
    <n v="250"/>
    <n v="13445"/>
    <x v="2"/>
    <n v="2689"/>
    <n v="18823"/>
    <n v="941.15"/>
    <x v="2"/>
    <n v="17881.849999999999"/>
    <n v="4436.8499999999985"/>
    <x v="0"/>
    <n v="0.3299999999999999"/>
    <n v="672250"/>
    <n v="-658805"/>
    <n v="5"/>
  </r>
  <r>
    <x v="7"/>
    <x v="1"/>
    <x v="2"/>
    <x v="1"/>
    <x v="0"/>
    <n v="260"/>
    <n v="8415"/>
    <x v="2"/>
    <n v="1683"/>
    <n v="11781"/>
    <n v="589.04999999999995"/>
    <x v="2"/>
    <n v="11191.95"/>
    <n v="2776.9500000000007"/>
    <x v="0"/>
    <n v="0.33000000000000007"/>
    <n v="437580"/>
    <n v="-429165"/>
    <n v="5"/>
  </r>
  <r>
    <x v="4"/>
    <x v="3"/>
    <x v="2"/>
    <x v="1"/>
    <x v="0"/>
    <n v="5"/>
    <n v="187200"/>
    <x v="4"/>
    <n v="720"/>
    <n v="252000"/>
    <n v="12600"/>
    <x v="2"/>
    <n v="239400"/>
    <n v="52200"/>
    <x v="0"/>
    <n v="0.27884615384615385"/>
    <n v="3600"/>
    <n v="183600"/>
    <n v="5"/>
  </r>
  <r>
    <x v="1"/>
    <x v="3"/>
    <x v="2"/>
    <x v="1"/>
    <x v="0"/>
    <n v="5"/>
    <n v="254800"/>
    <x v="4"/>
    <n v="980"/>
    <n v="343000"/>
    <n v="20580"/>
    <x v="2"/>
    <n v="322420"/>
    <n v="67620"/>
    <x v="0"/>
    <n v="0.26538461538461539"/>
    <n v="4900"/>
    <n v="249900"/>
    <n v="5"/>
  </r>
  <r>
    <x v="5"/>
    <x v="4"/>
    <x v="2"/>
    <x v="1"/>
    <x v="0"/>
    <n v="120"/>
    <n v="7490"/>
    <x v="2"/>
    <n v="1498"/>
    <n v="10486"/>
    <n v="629.16"/>
    <x v="2"/>
    <n v="9856.84"/>
    <n v="2366.84"/>
    <x v="0"/>
    <n v="0.316"/>
    <n v="179760"/>
    <n v="-172270"/>
    <n v="5"/>
  </r>
  <r>
    <x v="5"/>
    <x v="5"/>
    <x v="2"/>
    <x v="1"/>
    <x v="0"/>
    <n v="250"/>
    <n v="7490"/>
    <x v="2"/>
    <n v="1498"/>
    <n v="10486"/>
    <n v="629.16"/>
    <x v="2"/>
    <n v="9856.84"/>
    <n v="2366.84"/>
    <x v="0"/>
    <n v="0.316"/>
    <n v="374500"/>
    <n v="-367010"/>
    <n v="5"/>
  </r>
  <r>
    <x v="0"/>
    <x v="5"/>
    <x v="2"/>
    <x v="1"/>
    <x v="0"/>
    <n v="250"/>
    <n v="11230"/>
    <x v="3"/>
    <n v="1123"/>
    <n v="22460"/>
    <n v="1347.6"/>
    <x v="2"/>
    <n v="21112.400000000001"/>
    <n v="9882.4000000000015"/>
    <x v="0"/>
    <n v="0.88000000000000012"/>
    <n v="280750"/>
    <n v="-269520"/>
    <n v="10"/>
  </r>
  <r>
    <x v="6"/>
    <x v="1"/>
    <x v="2"/>
    <x v="1"/>
    <x v="0"/>
    <n v="260"/>
    <n v="436540"/>
    <x v="4"/>
    <n v="1679"/>
    <n v="587650"/>
    <n v="35259"/>
    <x v="2"/>
    <n v="552391"/>
    <n v="115851"/>
    <x v="0"/>
    <n v="0.26538461538461539"/>
    <n v="436540"/>
    <n v="0"/>
    <n v="260"/>
  </r>
  <r>
    <x v="9"/>
    <x v="4"/>
    <x v="2"/>
    <x v="1"/>
    <x v="0"/>
    <n v="120"/>
    <n v="6665"/>
    <x v="2"/>
    <n v="1333"/>
    <n v="9331"/>
    <n v="559.86"/>
    <x v="2"/>
    <n v="8771.14"/>
    <n v="2106.1399999999994"/>
    <x v="0"/>
    <n v="0.31599999999999989"/>
    <n v="159960"/>
    <n v="-153295"/>
    <n v="5"/>
  </r>
  <r>
    <x v="4"/>
    <x v="2"/>
    <x v="2"/>
    <x v="1"/>
    <x v="0"/>
    <n v="3"/>
    <n v="18340"/>
    <x v="3"/>
    <n v="1834"/>
    <n v="36680"/>
    <n v="2567.6"/>
    <x v="2"/>
    <n v="34112.400000000001"/>
    <n v="15772.400000000001"/>
    <x v="0"/>
    <n v="0.8600000000000001"/>
    <n v="5502"/>
    <n v="12838"/>
    <n v="3"/>
  </r>
  <r>
    <x v="2"/>
    <x v="4"/>
    <x v="2"/>
    <x v="1"/>
    <x v="0"/>
    <n v="120"/>
    <n v="6090"/>
    <x v="3"/>
    <n v="609"/>
    <n v="12180"/>
    <n v="852.6"/>
    <x v="2"/>
    <n v="11327.4"/>
    <n v="5237.3999999999996"/>
    <x v="0"/>
    <n v="0.86"/>
    <n v="73080"/>
    <n v="-66990"/>
    <n v="10"/>
  </r>
  <r>
    <x v="14"/>
    <x v="2"/>
    <x v="2"/>
    <x v="1"/>
    <x v="0"/>
    <n v="3"/>
    <n v="354120"/>
    <x v="4"/>
    <n v="1362"/>
    <n v="476700"/>
    <n v="38136"/>
    <x v="2"/>
    <n v="438564"/>
    <n v="84444"/>
    <x v="0"/>
    <n v="0.23846153846153847"/>
    <n v="4086"/>
    <n v="350034"/>
    <n v="3"/>
  </r>
  <r>
    <x v="6"/>
    <x v="0"/>
    <x v="2"/>
    <x v="1"/>
    <x v="0"/>
    <n v="10"/>
    <n v="29930"/>
    <x v="3"/>
    <n v="2993"/>
    <n v="59860"/>
    <n v="4788.8"/>
    <x v="2"/>
    <n v="55071.199999999997"/>
    <n v="25141.199999999997"/>
    <x v="0"/>
    <n v="0.83999999999999986"/>
    <n v="29930"/>
    <n v="0"/>
    <n v="10"/>
  </r>
  <r>
    <x v="12"/>
    <x v="0"/>
    <x v="2"/>
    <x v="1"/>
    <x v="0"/>
    <n v="10"/>
    <n v="9730"/>
    <x v="2"/>
    <n v="1946"/>
    <n v="13622"/>
    <n v="1089.76"/>
    <x v="2"/>
    <n v="12532.24"/>
    <n v="2802.24"/>
    <x v="0"/>
    <n v="0.28799999999999998"/>
    <n v="19460"/>
    <n v="-9730"/>
    <n v="5"/>
  </r>
  <r>
    <x v="14"/>
    <x v="0"/>
    <x v="2"/>
    <x v="1"/>
    <x v="0"/>
    <n v="10"/>
    <n v="354120"/>
    <x v="4"/>
    <n v="1362"/>
    <n v="476700"/>
    <n v="38136"/>
    <x v="2"/>
    <n v="438564"/>
    <n v="84444"/>
    <x v="0"/>
    <n v="0.23846153846153847"/>
    <n v="13620"/>
    <n v="340500"/>
    <n v="10"/>
  </r>
  <r>
    <x v="10"/>
    <x v="0"/>
    <x v="2"/>
    <x v="1"/>
    <x v="0"/>
    <n v="10"/>
    <n v="628420"/>
    <x v="4"/>
    <n v="2417"/>
    <n v="845950"/>
    <n v="76135.5"/>
    <x v="2"/>
    <n v="769814.5"/>
    <n v="141394.5"/>
    <x v="0"/>
    <n v="0.22500000000000001"/>
    <n v="24170"/>
    <n v="604250"/>
    <n v="10"/>
  </r>
  <r>
    <x v="9"/>
    <x v="1"/>
    <x v="2"/>
    <x v="1"/>
    <x v="0"/>
    <n v="260"/>
    <n v="16940"/>
    <x v="3"/>
    <n v="1694"/>
    <n v="33880"/>
    <n v="3049.2"/>
    <x v="2"/>
    <n v="30830.799999999999"/>
    <n v="13890.8"/>
    <x v="0"/>
    <n v="0.82"/>
    <n v="440440"/>
    <n v="-423500"/>
    <n v="10"/>
  </r>
  <r>
    <x v="14"/>
    <x v="2"/>
    <x v="2"/>
    <x v="1"/>
    <x v="0"/>
    <n v="3"/>
    <n v="2605"/>
    <x v="2"/>
    <n v="521"/>
    <n v="3647"/>
    <n v="328.23"/>
    <x v="2"/>
    <n v="3318.77"/>
    <n v="713.77"/>
    <x v="0"/>
    <n v="0.27399999999999997"/>
    <n v="1563"/>
    <n v="1042"/>
    <n v="3"/>
  </r>
  <r>
    <x v="5"/>
    <x v="0"/>
    <x v="2"/>
    <x v="1"/>
    <x v="0"/>
    <n v="10"/>
    <n v="10380"/>
    <x v="3"/>
    <n v="1038"/>
    <n v="20760"/>
    <n v="1868.4"/>
    <x v="2"/>
    <n v="18891.599999999999"/>
    <n v="8511.5999999999985"/>
    <x v="0"/>
    <n v="0.81999999999999984"/>
    <n v="10380"/>
    <n v="0"/>
    <n v="10"/>
  </r>
  <r>
    <x v="14"/>
    <x v="5"/>
    <x v="2"/>
    <x v="1"/>
    <x v="0"/>
    <n v="250"/>
    <n v="2605"/>
    <x v="2"/>
    <n v="521"/>
    <n v="3647"/>
    <n v="328.23"/>
    <x v="2"/>
    <n v="3318.77"/>
    <n v="713.77"/>
    <x v="0"/>
    <n v="0.27399999999999997"/>
    <n v="130250"/>
    <n v="-127645"/>
    <n v="5"/>
  </r>
  <r>
    <x v="5"/>
    <x v="1"/>
    <x v="2"/>
    <x v="1"/>
    <x v="0"/>
    <n v="260"/>
    <n v="10380"/>
    <x v="3"/>
    <n v="1038"/>
    <n v="20760"/>
    <n v="1868.4"/>
    <x v="2"/>
    <n v="18891.599999999999"/>
    <n v="8511.5999999999985"/>
    <x v="0"/>
    <n v="0.81999999999999984"/>
    <n v="269880"/>
    <n v="-259500"/>
    <n v="10"/>
  </r>
  <r>
    <x v="15"/>
    <x v="1"/>
    <x v="2"/>
    <x v="1"/>
    <x v="0"/>
    <n v="260"/>
    <n v="20390"/>
    <x v="3"/>
    <n v="2039"/>
    <n v="40780"/>
    <n v="4078"/>
    <x v="3"/>
    <n v="36702"/>
    <n v="16312"/>
    <x v="0"/>
    <n v="0.8"/>
    <n v="530140"/>
    <n v="-509750"/>
    <n v="10"/>
  </r>
  <r>
    <x v="0"/>
    <x v="2"/>
    <x v="2"/>
    <x v="1"/>
    <x v="0"/>
    <n v="3"/>
    <n v="13530"/>
    <x v="2"/>
    <n v="2706"/>
    <n v="18942"/>
    <n v="2083.62"/>
    <x v="3"/>
    <n v="16858.38"/>
    <n v="3328.380000000001"/>
    <x v="0"/>
    <n v="0.24600000000000008"/>
    <n v="8118"/>
    <n v="5412"/>
    <n v="3"/>
  </r>
  <r>
    <x v="8"/>
    <x v="0"/>
    <x v="2"/>
    <x v="1"/>
    <x v="0"/>
    <n v="10"/>
    <n v="11220"/>
    <x v="3"/>
    <n v="1122"/>
    <n v="22440"/>
    <n v="2468.4"/>
    <x v="3"/>
    <n v="19971.599999999999"/>
    <n v="8751.5999999999985"/>
    <x v="0"/>
    <n v="0.77999999999999992"/>
    <n v="11220"/>
    <n v="0"/>
    <n v="10"/>
  </r>
  <r>
    <x v="11"/>
    <x v="4"/>
    <x v="2"/>
    <x v="1"/>
    <x v="0"/>
    <n v="120"/>
    <n v="89440"/>
    <x v="4"/>
    <n v="344"/>
    <n v="120400"/>
    <n v="13244"/>
    <x v="3"/>
    <n v="107156"/>
    <n v="17716"/>
    <x v="1"/>
    <n v="0.19807692307692307"/>
    <n v="41280"/>
    <n v="48160"/>
    <n v="120"/>
  </r>
  <r>
    <x v="10"/>
    <x v="1"/>
    <x v="2"/>
    <x v="1"/>
    <x v="0"/>
    <n v="260"/>
    <n v="26290"/>
    <x v="3"/>
    <n v="2629"/>
    <n v="52580"/>
    <n v="5783.8"/>
    <x v="3"/>
    <n v="46796.2"/>
    <n v="20506.199999999997"/>
    <x v="0"/>
    <n v="0.77999999999999992"/>
    <n v="683540"/>
    <n v="-657250"/>
    <n v="10"/>
  </r>
  <r>
    <x v="11"/>
    <x v="1"/>
    <x v="2"/>
    <x v="1"/>
    <x v="0"/>
    <n v="260"/>
    <n v="89440"/>
    <x v="4"/>
    <n v="344"/>
    <n v="120400"/>
    <n v="13244"/>
    <x v="3"/>
    <n v="107156"/>
    <n v="17716"/>
    <x v="1"/>
    <n v="0.19807692307692307"/>
    <n v="89440"/>
    <n v="0"/>
    <n v="260"/>
  </r>
  <r>
    <x v="5"/>
    <x v="2"/>
    <x v="2"/>
    <x v="1"/>
    <x v="0"/>
    <n v="3"/>
    <n v="230360"/>
    <x v="4"/>
    <n v="886"/>
    <n v="310100"/>
    <n v="37212"/>
    <x v="3"/>
    <n v="272888"/>
    <n v="42528"/>
    <x v="1"/>
    <n v="0.18461538461538463"/>
    <n v="2658"/>
    <n v="227702"/>
    <n v="3"/>
  </r>
  <r>
    <x v="6"/>
    <x v="3"/>
    <x v="2"/>
    <x v="1"/>
    <x v="0"/>
    <n v="5"/>
    <n v="12100"/>
    <x v="2"/>
    <n v="2420"/>
    <n v="16940"/>
    <n v="2032.8"/>
    <x v="3"/>
    <n v="14907.2"/>
    <n v="2807.2000000000007"/>
    <x v="0"/>
    <n v="0.23200000000000007"/>
    <n v="12100"/>
    <n v="0"/>
    <n v="5"/>
  </r>
  <r>
    <x v="11"/>
    <x v="3"/>
    <x v="2"/>
    <x v="1"/>
    <x v="0"/>
    <n v="5"/>
    <n v="17150"/>
    <x v="3"/>
    <n v="1715"/>
    <n v="34300"/>
    <n v="4116"/>
    <x v="3"/>
    <n v="30184"/>
    <n v="13034"/>
    <x v="0"/>
    <n v="0.76"/>
    <n v="8575"/>
    <n v="8575"/>
    <n v="5"/>
  </r>
  <r>
    <x v="5"/>
    <x v="0"/>
    <x v="2"/>
    <x v="1"/>
    <x v="0"/>
    <n v="10"/>
    <n v="230360"/>
    <x v="4"/>
    <n v="886"/>
    <n v="310100"/>
    <n v="37212"/>
    <x v="3"/>
    <n v="272888"/>
    <n v="42528"/>
    <x v="1"/>
    <n v="0.18461538461538463"/>
    <n v="8860"/>
    <n v="221500"/>
    <n v="10"/>
  </r>
  <r>
    <x v="13"/>
    <x v="0"/>
    <x v="2"/>
    <x v="1"/>
    <x v="0"/>
    <n v="10"/>
    <n v="9050"/>
    <x v="3"/>
    <n v="905"/>
    <n v="18100"/>
    <n v="2172"/>
    <x v="3"/>
    <n v="15928"/>
    <n v="6878"/>
    <x v="0"/>
    <n v="0.76"/>
    <n v="9050"/>
    <n v="0"/>
    <n v="10"/>
  </r>
  <r>
    <x v="11"/>
    <x v="0"/>
    <x v="2"/>
    <x v="1"/>
    <x v="0"/>
    <n v="10"/>
    <n v="17150"/>
    <x v="3"/>
    <n v="1715"/>
    <n v="34300"/>
    <n v="4116"/>
    <x v="3"/>
    <n v="30184"/>
    <n v="13034"/>
    <x v="0"/>
    <n v="0.76"/>
    <n v="17150"/>
    <n v="0"/>
    <n v="10"/>
  </r>
  <r>
    <x v="9"/>
    <x v="0"/>
    <x v="2"/>
    <x v="1"/>
    <x v="0"/>
    <n v="10"/>
    <n v="311220"/>
    <x v="4"/>
    <n v="1197"/>
    <n v="418950"/>
    <n v="50274"/>
    <x v="3"/>
    <n v="368676"/>
    <n v="57456"/>
    <x v="1"/>
    <n v="0.18461538461538463"/>
    <n v="11970"/>
    <n v="299250"/>
    <n v="10"/>
  </r>
  <r>
    <x v="14"/>
    <x v="0"/>
    <x v="2"/>
    <x v="1"/>
    <x v="0"/>
    <n v="10"/>
    <n v="12330"/>
    <x v="3"/>
    <n v="1233"/>
    <n v="24660"/>
    <n v="2959.2"/>
    <x v="3"/>
    <n v="21700.799999999999"/>
    <n v="9370.7999999999993"/>
    <x v="0"/>
    <n v="0.7599999999999999"/>
    <n v="12330"/>
    <n v="0"/>
    <n v="10"/>
  </r>
  <r>
    <x v="7"/>
    <x v="4"/>
    <x v="2"/>
    <x v="1"/>
    <x v="0"/>
    <n v="120"/>
    <n v="362700"/>
    <x v="4"/>
    <n v="1395"/>
    <n v="488250"/>
    <n v="58590"/>
    <x v="3"/>
    <n v="429660"/>
    <n v="66960"/>
    <x v="1"/>
    <n v="0.18461538461538463"/>
    <n v="167400"/>
    <n v="195300"/>
    <n v="120"/>
  </r>
  <r>
    <x v="13"/>
    <x v="4"/>
    <x v="2"/>
    <x v="1"/>
    <x v="0"/>
    <n v="120"/>
    <n v="9050"/>
    <x v="3"/>
    <n v="905"/>
    <n v="18100"/>
    <n v="2172"/>
    <x v="3"/>
    <n v="15928"/>
    <n v="6878"/>
    <x v="0"/>
    <n v="0.76"/>
    <n v="108600"/>
    <n v="-99550"/>
    <n v="10"/>
  </r>
  <r>
    <x v="14"/>
    <x v="5"/>
    <x v="2"/>
    <x v="1"/>
    <x v="0"/>
    <n v="250"/>
    <n v="12330"/>
    <x v="3"/>
    <n v="1233"/>
    <n v="24660"/>
    <n v="2959.2"/>
    <x v="3"/>
    <n v="21700.799999999999"/>
    <n v="9370.7999999999993"/>
    <x v="0"/>
    <n v="0.7599999999999999"/>
    <n v="308250"/>
    <n v="-295920"/>
    <n v="10"/>
  </r>
  <r>
    <x v="7"/>
    <x v="3"/>
    <x v="2"/>
    <x v="1"/>
    <x v="0"/>
    <n v="5"/>
    <n v="22550"/>
    <x v="3"/>
    <n v="2255"/>
    <n v="45100"/>
    <n v="5863"/>
    <x v="3"/>
    <n v="39237"/>
    <n v="16687"/>
    <x v="0"/>
    <n v="0.74"/>
    <n v="11275"/>
    <n v="11275"/>
    <n v="5"/>
  </r>
  <r>
    <x v="1"/>
    <x v="2"/>
    <x v="2"/>
    <x v="1"/>
    <x v="0"/>
    <n v="3"/>
    <n v="25790"/>
    <x v="3"/>
    <n v="2579"/>
    <n v="51580"/>
    <n v="7221.2"/>
    <x v="3"/>
    <n v="44358.8"/>
    <n v="18568.800000000003"/>
    <x v="0"/>
    <n v="0.72000000000000008"/>
    <n v="7737"/>
    <n v="18053"/>
    <n v="3"/>
  </r>
  <r>
    <x v="11"/>
    <x v="3"/>
    <x v="2"/>
    <x v="1"/>
    <x v="0"/>
    <n v="5"/>
    <n v="8635"/>
    <x v="2"/>
    <n v="1727"/>
    <n v="12089"/>
    <n v="1692.46"/>
    <x v="3"/>
    <n v="10396.540000000001"/>
    <n v="1761.5400000000009"/>
    <x v="0"/>
    <n v="0.2040000000000001"/>
    <n v="8635"/>
    <n v="0"/>
    <n v="5"/>
  </r>
  <r>
    <x v="3"/>
    <x v="0"/>
    <x v="2"/>
    <x v="1"/>
    <x v="0"/>
    <n v="10"/>
    <n v="2600"/>
    <x v="3"/>
    <n v="260"/>
    <n v="5200"/>
    <n v="728"/>
    <x v="3"/>
    <n v="4472"/>
    <n v="1872"/>
    <x v="0"/>
    <n v="0.72"/>
    <n v="2600"/>
    <n v="0"/>
    <n v="10"/>
  </r>
  <r>
    <x v="8"/>
    <x v="5"/>
    <x v="2"/>
    <x v="1"/>
    <x v="0"/>
    <n v="250"/>
    <n v="14515"/>
    <x v="2"/>
    <n v="2903"/>
    <n v="20321"/>
    <n v="2844.94"/>
    <x v="3"/>
    <n v="17476.060000000001"/>
    <n v="2961.0600000000013"/>
    <x v="0"/>
    <n v="0.2040000000000001"/>
    <n v="725750"/>
    <n v="-711235"/>
    <n v="5"/>
  </r>
  <r>
    <x v="11"/>
    <x v="1"/>
    <x v="2"/>
    <x v="1"/>
    <x v="0"/>
    <n v="260"/>
    <n v="8635"/>
    <x v="2"/>
    <n v="1727"/>
    <n v="12089"/>
    <n v="1692.46"/>
    <x v="3"/>
    <n v="10396.540000000001"/>
    <n v="1761.5400000000009"/>
    <x v="0"/>
    <n v="0.2040000000000001"/>
    <n v="449020"/>
    <n v="-440385"/>
    <n v="5"/>
  </r>
  <r>
    <x v="1"/>
    <x v="0"/>
    <x v="2"/>
    <x v="1"/>
    <x v="0"/>
    <n v="10"/>
    <n v="12675"/>
    <x v="2"/>
    <n v="2535"/>
    <n v="17745"/>
    <n v="2661.75"/>
    <x v="3"/>
    <n v="15083.25"/>
    <n v="2408.25"/>
    <x v="1"/>
    <n v="0.19"/>
    <n v="25350"/>
    <n v="-12675"/>
    <n v="5"/>
  </r>
  <r>
    <x v="15"/>
    <x v="0"/>
    <x v="2"/>
    <x v="1"/>
    <x v="0"/>
    <n v="10"/>
    <n v="741260"/>
    <x v="4"/>
    <n v="2851"/>
    <n v="997850"/>
    <n v="149677.5"/>
    <x v="3"/>
    <n v="848172.5"/>
    <n v="106912.5"/>
    <x v="1"/>
    <n v="0.14423076923076922"/>
    <n v="28510"/>
    <n v="712750"/>
    <n v="10"/>
  </r>
  <r>
    <x v="0"/>
    <x v="0"/>
    <x v="2"/>
    <x v="1"/>
    <x v="0"/>
    <n v="10"/>
    <n v="559260"/>
    <x v="4"/>
    <n v="2151"/>
    <n v="752850"/>
    <n v="112927.5"/>
    <x v="3"/>
    <n v="639922.5"/>
    <n v="80662.5"/>
    <x v="1"/>
    <n v="0.14423076923076922"/>
    <n v="21510"/>
    <n v="537750"/>
    <n v="10"/>
  </r>
  <r>
    <x v="3"/>
    <x v="3"/>
    <x v="2"/>
    <x v="1"/>
    <x v="0"/>
    <n v="5"/>
    <n v="6840"/>
    <x v="2"/>
    <n v="1368"/>
    <n v="9576"/>
    <n v="1436.4"/>
    <x v="3"/>
    <n v="8139.6"/>
    <n v="1299.6000000000004"/>
    <x v="1"/>
    <n v="0.19000000000000006"/>
    <n v="6840"/>
    <n v="0"/>
    <n v="5"/>
  </r>
  <r>
    <x v="10"/>
    <x v="2"/>
    <x v="2"/>
    <x v="2"/>
    <x v="1"/>
    <n v="3"/>
    <n v="13210"/>
    <x v="3"/>
    <n v="1321"/>
    <n v="26420"/>
    <n v="0"/>
    <x v="0"/>
    <n v="26420"/>
    <n v="13210"/>
    <x v="0"/>
    <n v="1"/>
    <n v="3963"/>
    <n v="9247"/>
    <n v="3"/>
  </r>
  <r>
    <x v="14"/>
    <x v="2"/>
    <x v="2"/>
    <x v="2"/>
    <x v="1"/>
    <n v="3"/>
    <n v="393380"/>
    <x v="4"/>
    <n v="1513"/>
    <n v="529550"/>
    <n v="0"/>
    <x v="0"/>
    <n v="529550"/>
    <n v="136170"/>
    <x v="0"/>
    <n v="0.34615384615384615"/>
    <n v="4539"/>
    <n v="388841"/>
    <n v="3"/>
  </r>
  <r>
    <x v="6"/>
    <x v="3"/>
    <x v="2"/>
    <x v="2"/>
    <x v="1"/>
    <n v="5"/>
    <n v="10730"/>
    <x v="2"/>
    <n v="2146"/>
    <n v="15022"/>
    <n v="0"/>
    <x v="0"/>
    <n v="15022"/>
    <n v="4292"/>
    <x v="0"/>
    <n v="0.4"/>
    <n v="10730"/>
    <n v="0"/>
    <n v="5"/>
  </r>
  <r>
    <x v="5"/>
    <x v="0"/>
    <x v="2"/>
    <x v="2"/>
    <x v="1"/>
    <n v="10"/>
    <n v="261560"/>
    <x v="4"/>
    <n v="1006"/>
    <n v="352100"/>
    <n v="0"/>
    <x v="0"/>
    <n v="352100"/>
    <n v="90540"/>
    <x v="0"/>
    <n v="0.34615384615384615"/>
    <n v="10060"/>
    <n v="251500"/>
    <n v="10"/>
  </r>
  <r>
    <x v="14"/>
    <x v="0"/>
    <x v="2"/>
    <x v="2"/>
    <x v="1"/>
    <n v="10"/>
    <n v="393380"/>
    <x v="4"/>
    <n v="1513"/>
    <n v="529550"/>
    <n v="0"/>
    <x v="0"/>
    <n v="529550"/>
    <n v="136170"/>
    <x v="0"/>
    <n v="0.34615384615384615"/>
    <n v="15130"/>
    <n v="378250"/>
    <n v="10"/>
  </r>
  <r>
    <x v="5"/>
    <x v="4"/>
    <x v="2"/>
    <x v="2"/>
    <x v="1"/>
    <n v="120"/>
    <n v="261560"/>
    <x v="4"/>
    <n v="1006"/>
    <n v="352100"/>
    <n v="0"/>
    <x v="0"/>
    <n v="352100"/>
    <n v="90540"/>
    <x v="0"/>
    <n v="0.34615384615384615"/>
    <n v="120720"/>
    <n v="140840"/>
    <n v="120"/>
  </r>
  <r>
    <x v="7"/>
    <x v="1"/>
    <x v="2"/>
    <x v="2"/>
    <x v="1"/>
    <n v="260"/>
    <n v="8430"/>
    <x v="2"/>
    <n v="1686"/>
    <n v="11802"/>
    <n v="0"/>
    <x v="0"/>
    <n v="11802"/>
    <n v="3372"/>
    <x v="0"/>
    <n v="0.4"/>
    <n v="438360"/>
    <n v="-429930"/>
    <n v="5"/>
  </r>
  <r>
    <x v="8"/>
    <x v="5"/>
    <x v="2"/>
    <x v="2"/>
    <x v="1"/>
    <n v="250"/>
    <n v="1315"/>
    <x v="2"/>
    <n v="263"/>
    <n v="1841"/>
    <n v="18.41"/>
    <x v="1"/>
    <n v="1822.59"/>
    <n v="507.58999999999992"/>
    <x v="0"/>
    <n v="0.38599999999999995"/>
    <n v="65750"/>
    <n v="-64435"/>
    <n v="5"/>
  </r>
  <r>
    <x v="11"/>
    <x v="4"/>
    <x v="2"/>
    <x v="2"/>
    <x v="1"/>
    <n v="120"/>
    <n v="771160"/>
    <x v="4"/>
    <n v="2966"/>
    <n v="1038100"/>
    <n v="20762"/>
    <x v="1"/>
    <n v="1017338"/>
    <n v="246178"/>
    <x v="0"/>
    <n v="0.31923076923076921"/>
    <n v="355920"/>
    <n v="415240"/>
    <n v="120"/>
  </r>
  <r>
    <x v="13"/>
    <x v="4"/>
    <x v="2"/>
    <x v="2"/>
    <x v="1"/>
    <n v="120"/>
    <n v="748020"/>
    <x v="4"/>
    <n v="2877"/>
    <n v="1006950"/>
    <n v="20139"/>
    <x v="1"/>
    <n v="986811"/>
    <n v="238791"/>
    <x v="0"/>
    <n v="0.31923076923076921"/>
    <n v="345240"/>
    <n v="402780"/>
    <n v="120"/>
  </r>
  <r>
    <x v="13"/>
    <x v="5"/>
    <x v="2"/>
    <x v="2"/>
    <x v="1"/>
    <n v="250"/>
    <n v="748020"/>
    <x v="4"/>
    <n v="2877"/>
    <n v="1006950"/>
    <n v="20139"/>
    <x v="1"/>
    <n v="986811"/>
    <n v="238791"/>
    <x v="0"/>
    <n v="0.31923076923076921"/>
    <n v="719250"/>
    <n v="28770"/>
    <n v="250"/>
  </r>
  <r>
    <x v="11"/>
    <x v="1"/>
    <x v="2"/>
    <x v="2"/>
    <x v="1"/>
    <n v="260"/>
    <n v="771160"/>
    <x v="4"/>
    <n v="2966"/>
    <n v="1038100"/>
    <n v="20762"/>
    <x v="1"/>
    <n v="1017338"/>
    <n v="246178"/>
    <x v="0"/>
    <n v="0.31923076923076921"/>
    <n v="771160"/>
    <n v="0"/>
    <n v="260"/>
  </r>
  <r>
    <x v="1"/>
    <x v="2"/>
    <x v="2"/>
    <x v="2"/>
    <x v="1"/>
    <n v="3"/>
    <n v="25800"/>
    <x v="3"/>
    <n v="2580"/>
    <n v="51600"/>
    <n v="1548"/>
    <x v="1"/>
    <n v="50052"/>
    <n v="24252"/>
    <x v="0"/>
    <n v="0.94"/>
    <n v="7740"/>
    <n v="18060"/>
    <n v="3"/>
  </r>
  <r>
    <x v="3"/>
    <x v="3"/>
    <x v="2"/>
    <x v="2"/>
    <x v="1"/>
    <n v="5"/>
    <n v="9790"/>
    <x v="2"/>
    <n v="1958"/>
    <n v="13706"/>
    <n v="411.18"/>
    <x v="1"/>
    <n v="13294.82"/>
    <n v="3504.8199999999997"/>
    <x v="0"/>
    <n v="0.35799999999999998"/>
    <n v="9790"/>
    <n v="0"/>
    <n v="5"/>
  </r>
  <r>
    <x v="4"/>
    <x v="3"/>
    <x v="2"/>
    <x v="2"/>
    <x v="1"/>
    <n v="5"/>
    <n v="467220"/>
    <x v="4"/>
    <n v="1797"/>
    <n v="628950"/>
    <n v="18868.5"/>
    <x v="1"/>
    <n v="610081.5"/>
    <n v="142861.5"/>
    <x v="0"/>
    <n v="0.30576923076923079"/>
    <n v="8985"/>
    <n v="458235"/>
    <n v="5"/>
  </r>
  <r>
    <x v="6"/>
    <x v="1"/>
    <x v="2"/>
    <x v="2"/>
    <x v="1"/>
    <n v="260"/>
    <n v="495820"/>
    <x v="4"/>
    <n v="1907"/>
    <n v="667450"/>
    <n v="26698"/>
    <x v="1"/>
    <n v="640752"/>
    <n v="144932"/>
    <x v="0"/>
    <n v="0.29230769230769232"/>
    <n v="495820"/>
    <n v="0"/>
    <n v="260"/>
  </r>
  <r>
    <x v="11"/>
    <x v="3"/>
    <x v="2"/>
    <x v="2"/>
    <x v="1"/>
    <n v="5"/>
    <n v="5795"/>
    <x v="2"/>
    <n v="1159"/>
    <n v="8113"/>
    <n v="405.65"/>
    <x v="2"/>
    <n v="7707.35"/>
    <n v="1912.3500000000004"/>
    <x v="0"/>
    <n v="0.33000000000000007"/>
    <n v="5795"/>
    <n v="0"/>
    <n v="5"/>
  </r>
  <r>
    <x v="10"/>
    <x v="0"/>
    <x v="2"/>
    <x v="2"/>
    <x v="1"/>
    <n v="10"/>
    <n v="6860"/>
    <x v="2"/>
    <n v="1372"/>
    <n v="9604"/>
    <n v="480.2"/>
    <x v="2"/>
    <n v="9123.7999999999993"/>
    <n v="2263.7999999999993"/>
    <x v="0"/>
    <n v="0.3299999999999999"/>
    <n v="13720"/>
    <n v="-6860"/>
    <n v="5"/>
  </r>
  <r>
    <x v="11"/>
    <x v="1"/>
    <x v="2"/>
    <x v="2"/>
    <x v="1"/>
    <n v="260"/>
    <n v="5795"/>
    <x v="2"/>
    <n v="1159"/>
    <n v="8113"/>
    <n v="405.65"/>
    <x v="2"/>
    <n v="7707.35"/>
    <n v="1912.3500000000004"/>
    <x v="0"/>
    <n v="0.33000000000000007"/>
    <n v="301340"/>
    <n v="-295545"/>
    <n v="5"/>
  </r>
  <r>
    <x v="0"/>
    <x v="2"/>
    <x v="2"/>
    <x v="2"/>
    <x v="1"/>
    <n v="3"/>
    <n v="5080"/>
    <x v="2"/>
    <n v="1016"/>
    <n v="7112"/>
    <n v="355.6"/>
    <x v="2"/>
    <n v="6756.4"/>
    <n v="1676.3999999999996"/>
    <x v="0"/>
    <n v="0.3299999999999999"/>
    <n v="3048"/>
    <n v="2032"/>
    <n v="3"/>
  </r>
  <r>
    <x v="0"/>
    <x v="5"/>
    <x v="2"/>
    <x v="2"/>
    <x v="1"/>
    <n v="250"/>
    <n v="22970"/>
    <x v="3"/>
    <n v="2297"/>
    <n v="45940"/>
    <n v="2297"/>
    <x v="2"/>
    <n v="43643"/>
    <n v="20673"/>
    <x v="0"/>
    <n v="0.9"/>
    <n v="574250"/>
    <n v="-551280"/>
    <n v="10"/>
  </r>
  <r>
    <x v="3"/>
    <x v="1"/>
    <x v="2"/>
    <x v="2"/>
    <x v="1"/>
    <n v="260"/>
    <n v="351000"/>
    <x v="4"/>
    <n v="1350"/>
    <n v="472500"/>
    <n v="23625"/>
    <x v="2"/>
    <n v="448875"/>
    <n v="97875"/>
    <x v="0"/>
    <n v="0.27884615384615385"/>
    <n v="351000"/>
    <n v="0"/>
    <n v="260"/>
  </r>
  <r>
    <x v="15"/>
    <x v="3"/>
    <x v="2"/>
    <x v="2"/>
    <x v="1"/>
    <n v="5"/>
    <n v="379600"/>
    <x v="4"/>
    <n v="1460"/>
    <n v="511000"/>
    <n v="30660"/>
    <x v="2"/>
    <n v="480340"/>
    <n v="100740"/>
    <x v="0"/>
    <n v="0.26538461538461539"/>
    <n v="7300"/>
    <n v="372300"/>
    <n v="5"/>
  </r>
  <r>
    <x v="2"/>
    <x v="4"/>
    <x v="2"/>
    <x v="2"/>
    <x v="1"/>
    <n v="120"/>
    <n v="10010"/>
    <x v="3"/>
    <n v="1001"/>
    <n v="20020"/>
    <n v="1201.2"/>
    <x v="2"/>
    <n v="18818.8"/>
    <n v="8808.7999999999993"/>
    <x v="0"/>
    <n v="0.87999999999999989"/>
    <n v="120120"/>
    <n v="-110110"/>
    <n v="10"/>
  </r>
  <r>
    <x v="12"/>
    <x v="0"/>
    <x v="2"/>
    <x v="2"/>
    <x v="1"/>
    <n v="10"/>
    <n v="10625"/>
    <x v="2"/>
    <n v="2125"/>
    <n v="14875"/>
    <n v="1041.25"/>
    <x v="2"/>
    <n v="13833.75"/>
    <n v="3208.75"/>
    <x v="0"/>
    <n v="0.30199999999999999"/>
    <n v="21250"/>
    <n v="-10625"/>
    <n v="5"/>
  </r>
  <r>
    <x v="12"/>
    <x v="4"/>
    <x v="2"/>
    <x v="2"/>
    <x v="1"/>
    <n v="120"/>
    <n v="5880"/>
    <x v="3"/>
    <n v="588"/>
    <n v="11760"/>
    <n v="823.2"/>
    <x v="2"/>
    <n v="10936.8"/>
    <n v="5056.7999999999993"/>
    <x v="0"/>
    <n v="0.85999999999999988"/>
    <n v="70560"/>
    <n v="-64680"/>
    <n v="10"/>
  </r>
  <r>
    <x v="7"/>
    <x v="3"/>
    <x v="2"/>
    <x v="2"/>
    <x v="1"/>
    <n v="5"/>
    <n v="6450"/>
    <x v="3"/>
    <n v="645"/>
    <n v="12900"/>
    <n v="1032"/>
    <x v="2"/>
    <n v="11868"/>
    <n v="5418"/>
    <x v="0"/>
    <n v="0.84"/>
    <n v="3225"/>
    <n v="3225"/>
    <n v="5"/>
  </r>
  <r>
    <x v="1"/>
    <x v="0"/>
    <x v="2"/>
    <x v="2"/>
    <x v="1"/>
    <n v="10"/>
    <n v="6295"/>
    <x v="2"/>
    <n v="1259"/>
    <n v="8813"/>
    <n v="705.04"/>
    <x v="2"/>
    <n v="8107.96"/>
    <n v="1812.96"/>
    <x v="0"/>
    <n v="0.28799999999999998"/>
    <n v="12590"/>
    <n v="-6295"/>
    <n v="5"/>
  </r>
  <r>
    <x v="15"/>
    <x v="0"/>
    <x v="2"/>
    <x v="2"/>
    <x v="1"/>
    <n v="10"/>
    <n v="5475"/>
    <x v="2"/>
    <n v="1095"/>
    <n v="7665"/>
    <n v="613.20000000000005"/>
    <x v="2"/>
    <n v="7051.8"/>
    <n v="1576.8000000000002"/>
    <x v="0"/>
    <n v="0.28800000000000003"/>
    <n v="10950"/>
    <n v="-5475"/>
    <n v="5"/>
  </r>
  <r>
    <x v="5"/>
    <x v="0"/>
    <x v="2"/>
    <x v="2"/>
    <x v="1"/>
    <n v="10"/>
    <n v="13660"/>
    <x v="3"/>
    <n v="1366"/>
    <n v="27320"/>
    <n v="2185.6"/>
    <x v="2"/>
    <n v="25134.400000000001"/>
    <n v="11474.400000000001"/>
    <x v="0"/>
    <n v="0.84000000000000008"/>
    <n v="13660"/>
    <n v="0"/>
    <n v="10"/>
  </r>
  <r>
    <x v="2"/>
    <x v="0"/>
    <x v="2"/>
    <x v="2"/>
    <x v="1"/>
    <n v="10"/>
    <n v="7990"/>
    <x v="2"/>
    <n v="1598"/>
    <n v="11186"/>
    <n v="894.88"/>
    <x v="2"/>
    <n v="10291.120000000001"/>
    <n v="2301.1200000000008"/>
    <x v="0"/>
    <n v="0.28800000000000009"/>
    <n v="15980"/>
    <n v="-7990"/>
    <n v="5"/>
  </r>
  <r>
    <x v="4"/>
    <x v="0"/>
    <x v="2"/>
    <x v="2"/>
    <x v="1"/>
    <n v="10"/>
    <n v="12045"/>
    <x v="2"/>
    <n v="2409"/>
    <n v="16863"/>
    <n v="1349.04"/>
    <x v="2"/>
    <n v="15513.96"/>
    <n v="3468.9599999999991"/>
    <x v="0"/>
    <n v="0.28799999999999992"/>
    <n v="24090"/>
    <n v="-12045"/>
    <n v="5"/>
  </r>
  <r>
    <x v="6"/>
    <x v="0"/>
    <x v="2"/>
    <x v="2"/>
    <x v="1"/>
    <n v="10"/>
    <n v="19340"/>
    <x v="3"/>
    <n v="1934"/>
    <n v="38680"/>
    <n v="3094.4"/>
    <x v="2"/>
    <n v="35585.599999999999"/>
    <n v="16245.599999999999"/>
    <x v="0"/>
    <n v="0.84"/>
    <n v="19340"/>
    <n v="0"/>
    <n v="10"/>
  </r>
  <r>
    <x v="0"/>
    <x v="0"/>
    <x v="2"/>
    <x v="2"/>
    <x v="1"/>
    <n v="10"/>
    <n v="557960"/>
    <x v="4"/>
    <n v="2146"/>
    <n v="751100"/>
    <n v="60088"/>
    <x v="2"/>
    <n v="691012"/>
    <n v="133052"/>
    <x v="0"/>
    <n v="0.23846153846153847"/>
    <n v="21460"/>
    <n v="536500"/>
    <n v="10"/>
  </r>
  <r>
    <x v="5"/>
    <x v="4"/>
    <x v="2"/>
    <x v="2"/>
    <x v="1"/>
    <n v="120"/>
    <n v="11690"/>
    <x v="2"/>
    <n v="2338"/>
    <n v="16366"/>
    <n v="1309.28"/>
    <x v="2"/>
    <n v="15056.72"/>
    <n v="3366.7199999999993"/>
    <x v="0"/>
    <n v="0.28799999999999992"/>
    <n v="280560"/>
    <n v="-268870"/>
    <n v="5"/>
  </r>
  <r>
    <x v="5"/>
    <x v="5"/>
    <x v="2"/>
    <x v="2"/>
    <x v="1"/>
    <n v="250"/>
    <n v="11690"/>
    <x v="2"/>
    <n v="2338"/>
    <n v="16366"/>
    <n v="1309.28"/>
    <x v="2"/>
    <n v="15056.72"/>
    <n v="3366.7199999999993"/>
    <x v="0"/>
    <n v="0.28799999999999992"/>
    <n v="584500"/>
    <n v="-572810"/>
    <n v="5"/>
  </r>
  <r>
    <x v="2"/>
    <x v="5"/>
    <x v="2"/>
    <x v="2"/>
    <x v="1"/>
    <n v="250"/>
    <n v="109720"/>
    <x v="4"/>
    <n v="422"/>
    <n v="147700"/>
    <n v="11816"/>
    <x v="2"/>
    <n v="135884"/>
    <n v="26164"/>
    <x v="0"/>
    <n v="0.23846153846153847"/>
    <n v="105500"/>
    <n v="4220"/>
    <n v="250"/>
  </r>
  <r>
    <x v="5"/>
    <x v="1"/>
    <x v="2"/>
    <x v="2"/>
    <x v="1"/>
    <n v="260"/>
    <n v="13660"/>
    <x v="3"/>
    <n v="1366"/>
    <n v="27320"/>
    <n v="2185.6"/>
    <x v="2"/>
    <n v="25134.400000000001"/>
    <n v="11474.400000000001"/>
    <x v="0"/>
    <n v="0.84000000000000008"/>
    <n v="355160"/>
    <n v="-341500"/>
    <n v="10"/>
  </r>
  <r>
    <x v="9"/>
    <x v="1"/>
    <x v="2"/>
    <x v="2"/>
    <x v="1"/>
    <n v="260"/>
    <n v="15200"/>
    <x v="3"/>
    <n v="1520"/>
    <n v="30400"/>
    <n v="2432"/>
    <x v="2"/>
    <n v="27968"/>
    <n v="12768"/>
    <x v="0"/>
    <n v="0.84"/>
    <n v="395200"/>
    <n v="-380000"/>
    <n v="10"/>
  </r>
  <r>
    <x v="7"/>
    <x v="4"/>
    <x v="2"/>
    <x v="2"/>
    <x v="1"/>
    <n v="120"/>
    <n v="339820"/>
    <x v="4"/>
    <n v="1307"/>
    <n v="457450"/>
    <n v="41170.5"/>
    <x v="2"/>
    <n v="416279.5"/>
    <n v="76459.5"/>
    <x v="0"/>
    <n v="0.22500000000000001"/>
    <n v="156840"/>
    <n v="182980"/>
    <n v="120"/>
  </r>
  <r>
    <x v="15"/>
    <x v="2"/>
    <x v="2"/>
    <x v="2"/>
    <x v="1"/>
    <n v="3"/>
    <n v="6630"/>
    <x v="3"/>
    <n v="663"/>
    <n v="13260"/>
    <n v="1193.4000000000001"/>
    <x v="2"/>
    <n v="12066.6"/>
    <n v="5436.6"/>
    <x v="0"/>
    <n v="0.82000000000000006"/>
    <n v="1989"/>
    <n v="4641"/>
    <n v="3"/>
  </r>
  <r>
    <x v="13"/>
    <x v="0"/>
    <x v="2"/>
    <x v="2"/>
    <x v="1"/>
    <n v="10"/>
    <n v="1800"/>
    <x v="2"/>
    <n v="360"/>
    <n v="2520"/>
    <n v="226.8"/>
    <x v="2"/>
    <n v="2293.1999999999998"/>
    <n v="493.19999999999982"/>
    <x v="0"/>
    <n v="0.27399999999999991"/>
    <n v="3600"/>
    <n v="-1800"/>
    <n v="5"/>
  </r>
  <r>
    <x v="13"/>
    <x v="5"/>
    <x v="2"/>
    <x v="2"/>
    <x v="1"/>
    <n v="250"/>
    <n v="1800"/>
    <x v="2"/>
    <n v="360"/>
    <n v="2520"/>
    <n v="226.8"/>
    <x v="2"/>
    <n v="2293.1999999999998"/>
    <n v="493.19999999999982"/>
    <x v="0"/>
    <n v="0.27399999999999991"/>
    <n v="90000"/>
    <n v="-88200"/>
    <n v="5"/>
  </r>
  <r>
    <x v="13"/>
    <x v="0"/>
    <x v="2"/>
    <x v="2"/>
    <x v="1"/>
    <n v="10"/>
    <n v="2410"/>
    <x v="3"/>
    <n v="241"/>
    <n v="4820"/>
    <n v="482"/>
    <x v="3"/>
    <n v="4338"/>
    <n v="1928"/>
    <x v="0"/>
    <n v="0.8"/>
    <n v="2410"/>
    <n v="0"/>
    <n v="10"/>
  </r>
  <r>
    <x v="13"/>
    <x v="4"/>
    <x v="2"/>
    <x v="2"/>
    <x v="1"/>
    <n v="120"/>
    <n v="2410"/>
    <x v="3"/>
    <n v="241"/>
    <n v="4820"/>
    <n v="482"/>
    <x v="3"/>
    <n v="4338"/>
    <n v="1928"/>
    <x v="0"/>
    <n v="0.8"/>
    <n v="28920"/>
    <n v="-26510"/>
    <n v="10"/>
  </r>
  <r>
    <x v="9"/>
    <x v="4"/>
    <x v="2"/>
    <x v="2"/>
    <x v="1"/>
    <n v="120"/>
    <n v="13325"/>
    <x v="2"/>
    <n v="2665"/>
    <n v="18655"/>
    <n v="1865.5"/>
    <x v="3"/>
    <n v="16789.5"/>
    <n v="3464.5"/>
    <x v="0"/>
    <n v="0.26"/>
    <n v="319800"/>
    <n v="-306475"/>
    <n v="5"/>
  </r>
  <r>
    <x v="12"/>
    <x v="5"/>
    <x v="2"/>
    <x v="2"/>
    <x v="1"/>
    <n v="250"/>
    <n v="486200"/>
    <x v="4"/>
    <n v="1870"/>
    <n v="654500"/>
    <n v="65450"/>
    <x v="3"/>
    <n v="589050"/>
    <n v="102850"/>
    <x v="0"/>
    <n v="0.21153846153846154"/>
    <n v="467500"/>
    <n v="18700"/>
    <n v="250"/>
  </r>
  <r>
    <x v="8"/>
    <x v="2"/>
    <x v="2"/>
    <x v="2"/>
    <x v="1"/>
    <n v="3"/>
    <n v="205920"/>
    <x v="4"/>
    <n v="792"/>
    <n v="277200"/>
    <n v="30492"/>
    <x v="3"/>
    <n v="246708"/>
    <n v="40788"/>
    <x v="1"/>
    <n v="0.19807692307692307"/>
    <n v="2376"/>
    <n v="203544"/>
    <n v="3"/>
  </r>
  <r>
    <x v="10"/>
    <x v="3"/>
    <x v="2"/>
    <x v="2"/>
    <x v="1"/>
    <n v="5"/>
    <n v="199160"/>
    <x v="4"/>
    <n v="766"/>
    <n v="268100"/>
    <n v="29491"/>
    <x v="3"/>
    <n v="238609"/>
    <n v="39449"/>
    <x v="1"/>
    <n v="0.19807692307692307"/>
    <n v="3830"/>
    <n v="195330"/>
    <n v="5"/>
  </r>
  <r>
    <x v="11"/>
    <x v="3"/>
    <x v="2"/>
    <x v="2"/>
    <x v="1"/>
    <n v="5"/>
    <n v="29920"/>
    <x v="3"/>
    <n v="2992"/>
    <n v="59840"/>
    <n v="6582.4"/>
    <x v="3"/>
    <n v="53257.599999999999"/>
    <n v="23337.599999999999"/>
    <x v="0"/>
    <n v="0.77999999999999992"/>
    <n v="14960"/>
    <n v="14960"/>
    <n v="5"/>
  </r>
  <r>
    <x v="11"/>
    <x v="0"/>
    <x v="2"/>
    <x v="2"/>
    <x v="1"/>
    <n v="10"/>
    <n v="29920"/>
    <x v="3"/>
    <n v="2992"/>
    <n v="59840"/>
    <n v="6582.4"/>
    <x v="3"/>
    <n v="53257.599999999999"/>
    <n v="23337.599999999999"/>
    <x v="0"/>
    <n v="0.77999999999999992"/>
    <n v="29920"/>
    <n v="0"/>
    <n v="10"/>
  </r>
  <r>
    <x v="14"/>
    <x v="0"/>
    <x v="2"/>
    <x v="2"/>
    <x v="1"/>
    <n v="10"/>
    <n v="15310"/>
    <x v="3"/>
    <n v="1531"/>
    <n v="30620"/>
    <n v="3674.4"/>
    <x v="3"/>
    <n v="26945.599999999999"/>
    <n v="11635.599999999999"/>
    <x v="0"/>
    <n v="0.7599999999999999"/>
    <n v="15310"/>
    <n v="0"/>
    <n v="10"/>
  </r>
  <r>
    <x v="14"/>
    <x v="5"/>
    <x v="2"/>
    <x v="2"/>
    <x v="1"/>
    <n v="250"/>
    <n v="15310"/>
    <x v="3"/>
    <n v="1531"/>
    <n v="30620"/>
    <n v="3674.4"/>
    <x v="3"/>
    <n v="26945.599999999999"/>
    <n v="11635.599999999999"/>
    <x v="0"/>
    <n v="0.7599999999999999"/>
    <n v="382750"/>
    <n v="-367440"/>
    <n v="10"/>
  </r>
  <r>
    <x v="4"/>
    <x v="2"/>
    <x v="2"/>
    <x v="2"/>
    <x v="1"/>
    <n v="3"/>
    <n v="4420"/>
    <x v="3"/>
    <n v="442"/>
    <n v="8840"/>
    <n v="1149.2"/>
    <x v="3"/>
    <n v="7690.8"/>
    <n v="3270.8"/>
    <x v="0"/>
    <n v="0.74"/>
    <n v="1326"/>
    <n v="3094"/>
    <n v="3"/>
  </r>
  <r>
    <x v="3"/>
    <x v="0"/>
    <x v="2"/>
    <x v="2"/>
    <x v="1"/>
    <n v="10"/>
    <n v="27080"/>
    <x v="3"/>
    <n v="2708"/>
    <n v="54160"/>
    <n v="7040.8"/>
    <x v="3"/>
    <n v="47119.199999999997"/>
    <n v="20039.199999999997"/>
    <x v="0"/>
    <n v="0.73999999999999988"/>
    <n v="27080"/>
    <n v="0"/>
    <n v="10"/>
  </r>
  <r>
    <x v="9"/>
    <x v="0"/>
    <x v="2"/>
    <x v="2"/>
    <x v="1"/>
    <n v="10"/>
    <n v="92820"/>
    <x v="4"/>
    <n v="357"/>
    <n v="124950"/>
    <n v="16243.5"/>
    <x v="3"/>
    <n v="108706.5"/>
    <n v="15886.5"/>
    <x v="1"/>
    <n v="0.17115384615384616"/>
    <n v="3570"/>
    <n v="89250"/>
    <n v="10"/>
  </r>
  <r>
    <x v="14"/>
    <x v="2"/>
    <x v="2"/>
    <x v="2"/>
    <x v="1"/>
    <n v="3"/>
    <n v="1400"/>
    <x v="2"/>
    <n v="280"/>
    <n v="1960"/>
    <n v="274.39999999999998"/>
    <x v="3"/>
    <n v="1685.6"/>
    <n v="285.59999999999991"/>
    <x v="0"/>
    <n v="0.20399999999999993"/>
    <n v="840"/>
    <n v="560"/>
    <n v="3"/>
  </r>
  <r>
    <x v="14"/>
    <x v="5"/>
    <x v="2"/>
    <x v="2"/>
    <x v="1"/>
    <n v="250"/>
    <n v="1400"/>
    <x v="2"/>
    <n v="280"/>
    <n v="1960"/>
    <n v="274.39999999999998"/>
    <x v="3"/>
    <n v="1685.6"/>
    <n v="285.59999999999991"/>
    <x v="0"/>
    <n v="0.20399999999999993"/>
    <n v="70000"/>
    <n v="-68600"/>
    <n v="5"/>
  </r>
  <r>
    <x v="1"/>
    <x v="3"/>
    <x v="2"/>
    <x v="2"/>
    <x v="1"/>
    <n v="5"/>
    <n v="311740"/>
    <x v="4"/>
    <n v="1199"/>
    <n v="419650"/>
    <n v="58751"/>
    <x v="3"/>
    <n v="360899"/>
    <n v="49159"/>
    <x v="1"/>
    <n v="0.15769230769230769"/>
    <n v="5995"/>
    <n v="305745"/>
    <n v="5"/>
  </r>
  <r>
    <x v="8"/>
    <x v="0"/>
    <x v="2"/>
    <x v="2"/>
    <x v="1"/>
    <n v="10"/>
    <n v="11580"/>
    <x v="3"/>
    <n v="1158"/>
    <n v="23160"/>
    <n v="3474"/>
    <x v="3"/>
    <n v="19686"/>
    <n v="8106"/>
    <x v="0"/>
    <n v="0.7"/>
    <n v="11580"/>
    <n v="0"/>
    <n v="10"/>
  </r>
  <r>
    <x v="5"/>
    <x v="3"/>
    <x v="2"/>
    <x v="3"/>
    <x v="1"/>
    <n v="5"/>
    <n v="18990"/>
    <x v="3"/>
    <n v="1899"/>
    <n v="37980"/>
    <n v="0"/>
    <x v="0"/>
    <n v="37980"/>
    <n v="18990"/>
    <x v="0"/>
    <n v="1"/>
    <n v="9495"/>
    <n v="9495"/>
    <n v="5"/>
  </r>
  <r>
    <x v="4"/>
    <x v="5"/>
    <x v="2"/>
    <x v="3"/>
    <x v="1"/>
    <n v="250"/>
    <n v="397020"/>
    <x v="4"/>
    <n v="1527"/>
    <n v="534450"/>
    <n v="0"/>
    <x v="0"/>
    <n v="534450"/>
    <n v="137430"/>
    <x v="0"/>
    <n v="0.34615384615384615"/>
    <n v="381750"/>
    <n v="15270"/>
    <n v="250"/>
  </r>
  <r>
    <x v="3"/>
    <x v="1"/>
    <x v="2"/>
    <x v="3"/>
    <x v="1"/>
    <n v="260"/>
    <n v="715000"/>
    <x v="4"/>
    <n v="2750"/>
    <n v="962500"/>
    <n v="0"/>
    <x v="0"/>
    <n v="962500"/>
    <n v="247500"/>
    <x v="0"/>
    <n v="0.34615384615384615"/>
    <n v="715000"/>
    <n v="0"/>
    <n v="260"/>
  </r>
  <r>
    <x v="5"/>
    <x v="1"/>
    <x v="2"/>
    <x v="3"/>
    <x v="1"/>
    <n v="260"/>
    <n v="18990"/>
    <x v="3"/>
    <n v="1899"/>
    <n v="37980"/>
    <n v="0"/>
    <x v="0"/>
    <n v="37980"/>
    <n v="18990"/>
    <x v="0"/>
    <n v="1"/>
    <n v="493740"/>
    <n v="-474750"/>
    <n v="10"/>
  </r>
  <r>
    <x v="10"/>
    <x v="0"/>
    <x v="2"/>
    <x v="3"/>
    <x v="1"/>
    <n v="10"/>
    <n v="19725"/>
    <x v="2"/>
    <n v="3945"/>
    <n v="27615"/>
    <n v="276.14999999999998"/>
    <x v="1"/>
    <n v="27338.85"/>
    <n v="7613.8499999999985"/>
    <x v="0"/>
    <n v="0.3859999999999999"/>
    <n v="39450"/>
    <n v="-19725"/>
    <n v="5"/>
  </r>
  <r>
    <x v="15"/>
    <x v="0"/>
    <x v="2"/>
    <x v="3"/>
    <x v="1"/>
    <n v="10"/>
    <n v="5150"/>
    <x v="2"/>
    <n v="1030"/>
    <n v="7210"/>
    <n v="72.099999999999994"/>
    <x v="1"/>
    <n v="7137.9"/>
    <n v="1987.8999999999996"/>
    <x v="0"/>
    <n v="0.38599999999999995"/>
    <n v="10300"/>
    <n v="-5150"/>
    <n v="5"/>
  </r>
  <r>
    <x v="9"/>
    <x v="4"/>
    <x v="2"/>
    <x v="3"/>
    <x v="1"/>
    <n v="120"/>
    <n v="3195"/>
    <x v="2"/>
    <n v="639"/>
    <n v="4473"/>
    <n v="44.73"/>
    <x v="1"/>
    <n v="4428.2700000000004"/>
    <n v="1233.2700000000004"/>
    <x v="0"/>
    <n v="0.38600000000000012"/>
    <n v="76680"/>
    <n v="-73485"/>
    <n v="5"/>
  </r>
  <r>
    <x v="14"/>
    <x v="2"/>
    <x v="2"/>
    <x v="3"/>
    <x v="1"/>
    <n v="3"/>
    <n v="560300"/>
    <x v="4"/>
    <n v="2155"/>
    <n v="754250"/>
    <n v="7542.5"/>
    <x v="1"/>
    <n v="746707.5"/>
    <n v="186407.5"/>
    <x v="0"/>
    <n v="0.33269230769230768"/>
    <n v="6465"/>
    <n v="553835"/>
    <n v="3"/>
  </r>
  <r>
    <x v="7"/>
    <x v="3"/>
    <x v="2"/>
    <x v="3"/>
    <x v="1"/>
    <n v="5"/>
    <n v="13755"/>
    <x v="3"/>
    <n v="1375.5"/>
    <n v="27510"/>
    <n v="275.10000000000002"/>
    <x v="1"/>
    <n v="27234.9"/>
    <n v="13479.900000000001"/>
    <x v="0"/>
    <n v="0.98000000000000009"/>
    <n v="6877.5"/>
    <n v="6877.5"/>
    <n v="5"/>
  </r>
  <r>
    <x v="14"/>
    <x v="0"/>
    <x v="2"/>
    <x v="3"/>
    <x v="1"/>
    <n v="10"/>
    <n v="560300"/>
    <x v="4"/>
    <n v="2155"/>
    <n v="754250"/>
    <n v="7542.5"/>
    <x v="1"/>
    <n v="746707.5"/>
    <n v="186407.5"/>
    <x v="0"/>
    <n v="0.33269230769230768"/>
    <n v="21550"/>
    <n v="538750"/>
    <n v="10"/>
  </r>
  <r>
    <x v="1"/>
    <x v="4"/>
    <x v="2"/>
    <x v="3"/>
    <x v="1"/>
    <n v="120"/>
    <n v="38640"/>
    <x v="3"/>
    <n v="3864"/>
    <n v="77280"/>
    <n v="772.8"/>
    <x v="1"/>
    <n v="76507.199999999997"/>
    <n v="37867.199999999997"/>
    <x v="0"/>
    <n v="0.97999999999999987"/>
    <n v="463680"/>
    <n v="-425040"/>
    <n v="10"/>
  </r>
  <r>
    <x v="0"/>
    <x v="2"/>
    <x v="2"/>
    <x v="3"/>
    <x v="1"/>
    <n v="3"/>
    <n v="10725"/>
    <x v="2"/>
    <n v="2145"/>
    <n v="15015"/>
    <n v="300.3"/>
    <x v="1"/>
    <n v="14714.7"/>
    <n v="3989.7000000000007"/>
    <x v="0"/>
    <n v="0.37200000000000005"/>
    <n v="6435"/>
    <n v="4290"/>
    <n v="3"/>
  </r>
  <r>
    <x v="9"/>
    <x v="1"/>
    <x v="2"/>
    <x v="3"/>
    <x v="1"/>
    <n v="260"/>
    <n v="9410"/>
    <x v="3"/>
    <n v="941"/>
    <n v="18820"/>
    <n v="376.4"/>
    <x v="1"/>
    <n v="18443.599999999999"/>
    <n v="9033.5999999999985"/>
    <x v="0"/>
    <n v="0.95999999999999985"/>
    <n v="244660"/>
    <n v="-235250"/>
    <n v="10"/>
  </r>
  <r>
    <x v="6"/>
    <x v="3"/>
    <x v="2"/>
    <x v="3"/>
    <x v="1"/>
    <n v="5"/>
    <n v="2720"/>
    <x v="2"/>
    <n v="544"/>
    <n v="3808"/>
    <n v="114.24"/>
    <x v="1"/>
    <n v="3693.76"/>
    <n v="973.76000000000022"/>
    <x v="0"/>
    <n v="0.3580000000000001"/>
    <n v="2720"/>
    <n v="0"/>
    <n v="5"/>
  </r>
  <r>
    <x v="13"/>
    <x v="4"/>
    <x v="2"/>
    <x v="3"/>
    <x v="1"/>
    <n v="120"/>
    <n v="566020"/>
    <x v="4"/>
    <n v="2177"/>
    <n v="761950"/>
    <n v="30478"/>
    <x v="1"/>
    <n v="731472"/>
    <n v="165452"/>
    <x v="0"/>
    <n v="0.29230769230769232"/>
    <n v="261240"/>
    <n v="304780"/>
    <n v="120"/>
  </r>
  <r>
    <x v="13"/>
    <x v="5"/>
    <x v="2"/>
    <x v="3"/>
    <x v="1"/>
    <n v="250"/>
    <n v="566020"/>
    <x v="4"/>
    <n v="2177"/>
    <n v="761950"/>
    <n v="30478"/>
    <x v="1"/>
    <n v="731472"/>
    <n v="165452"/>
    <x v="0"/>
    <n v="0.29230769230769232"/>
    <n v="544250"/>
    <n v="21770"/>
    <n v="250"/>
  </r>
  <r>
    <x v="15"/>
    <x v="2"/>
    <x v="2"/>
    <x v="3"/>
    <x v="1"/>
    <n v="3"/>
    <n v="15630"/>
    <x v="3"/>
    <n v="1563"/>
    <n v="31260"/>
    <n v="1563"/>
    <x v="2"/>
    <n v="29697"/>
    <n v="14067"/>
    <x v="0"/>
    <n v="0.9"/>
    <n v="4689"/>
    <n v="10941"/>
    <n v="3"/>
  </r>
  <r>
    <x v="14"/>
    <x v="2"/>
    <x v="2"/>
    <x v="3"/>
    <x v="1"/>
    <n v="3"/>
    <n v="12435"/>
    <x v="2"/>
    <n v="2487"/>
    <n v="17409"/>
    <n v="870.45"/>
    <x v="2"/>
    <n v="16538.55"/>
    <n v="4103.5499999999993"/>
    <x v="0"/>
    <n v="0.32999999999999996"/>
    <n v="7461"/>
    <n v="4974"/>
    <n v="3"/>
  </r>
  <r>
    <x v="10"/>
    <x v="3"/>
    <x v="2"/>
    <x v="3"/>
    <x v="1"/>
    <n v="5"/>
    <n v="359970"/>
    <x v="4"/>
    <n v="1384.5"/>
    <n v="484575"/>
    <n v="24228.75"/>
    <x v="2"/>
    <n v="460346.25"/>
    <n v="100376.25"/>
    <x v="0"/>
    <n v="0.27884615384615385"/>
    <n v="6922.5"/>
    <n v="353047.5"/>
    <n v="5"/>
  </r>
  <r>
    <x v="3"/>
    <x v="0"/>
    <x v="2"/>
    <x v="3"/>
    <x v="1"/>
    <n v="10"/>
    <n v="13030"/>
    <x v="3"/>
    <n v="1303"/>
    <n v="26060"/>
    <n v="1303"/>
    <x v="2"/>
    <n v="24757"/>
    <n v="11727"/>
    <x v="0"/>
    <n v="0.9"/>
    <n v="13030"/>
    <n v="0"/>
    <n v="10"/>
  </r>
  <r>
    <x v="12"/>
    <x v="0"/>
    <x v="2"/>
    <x v="3"/>
    <x v="1"/>
    <n v="10"/>
    <n v="10680"/>
    <x v="2"/>
    <n v="2136"/>
    <n v="14952"/>
    <n v="747.6"/>
    <x v="2"/>
    <n v="14204.4"/>
    <n v="3524.3999999999996"/>
    <x v="0"/>
    <n v="0.32999999999999996"/>
    <n v="21360"/>
    <n v="-10680"/>
    <n v="5"/>
  </r>
  <r>
    <x v="2"/>
    <x v="4"/>
    <x v="2"/>
    <x v="3"/>
    <x v="1"/>
    <n v="120"/>
    <n v="15790"/>
    <x v="3"/>
    <n v="1579"/>
    <n v="31580"/>
    <n v="1579"/>
    <x v="2"/>
    <n v="30001"/>
    <n v="14211"/>
    <x v="0"/>
    <n v="0.9"/>
    <n v="189480"/>
    <n v="-173690"/>
    <n v="10"/>
  </r>
  <r>
    <x v="12"/>
    <x v="4"/>
    <x v="2"/>
    <x v="3"/>
    <x v="1"/>
    <n v="120"/>
    <n v="10330"/>
    <x v="3"/>
    <n v="1033"/>
    <n v="20660"/>
    <n v="1033"/>
    <x v="2"/>
    <n v="19627"/>
    <n v="9297"/>
    <x v="0"/>
    <n v="0.9"/>
    <n v="123960"/>
    <n v="-113630"/>
    <n v="10"/>
  </r>
  <r>
    <x v="14"/>
    <x v="5"/>
    <x v="2"/>
    <x v="3"/>
    <x v="1"/>
    <n v="250"/>
    <n v="12435"/>
    <x v="2"/>
    <n v="2487"/>
    <n v="17409"/>
    <n v="870.45"/>
    <x v="2"/>
    <n v="16538.55"/>
    <n v="4103.5499999999993"/>
    <x v="0"/>
    <n v="0.32999999999999996"/>
    <n v="621750"/>
    <n v="-609315"/>
    <n v="5"/>
  </r>
  <r>
    <x v="11"/>
    <x v="3"/>
    <x v="2"/>
    <x v="3"/>
    <x v="1"/>
    <n v="5"/>
    <n v="7015"/>
    <x v="2"/>
    <n v="1403"/>
    <n v="9821"/>
    <n v="589.26"/>
    <x v="2"/>
    <n v="9231.74"/>
    <n v="2216.7399999999998"/>
    <x v="0"/>
    <n v="0.31599999999999995"/>
    <n v="7015"/>
    <n v="0"/>
    <n v="5"/>
  </r>
  <r>
    <x v="5"/>
    <x v="0"/>
    <x v="2"/>
    <x v="3"/>
    <x v="1"/>
    <n v="10"/>
    <n v="388960"/>
    <x v="4"/>
    <n v="1496"/>
    <n v="523600"/>
    <n v="31416"/>
    <x v="2"/>
    <n v="492184"/>
    <n v="103224"/>
    <x v="0"/>
    <n v="0.26538461538461539"/>
    <n v="14960"/>
    <n v="374000"/>
    <n v="10"/>
  </r>
  <r>
    <x v="5"/>
    <x v="4"/>
    <x v="2"/>
    <x v="3"/>
    <x v="1"/>
    <n v="120"/>
    <n v="388960"/>
    <x v="4"/>
    <n v="1496"/>
    <n v="523600"/>
    <n v="31416"/>
    <x v="2"/>
    <n v="492184"/>
    <n v="103224"/>
    <x v="0"/>
    <n v="0.26538461538461539"/>
    <n v="179520"/>
    <n v="209440"/>
    <n v="120"/>
  </r>
  <r>
    <x v="11"/>
    <x v="4"/>
    <x v="2"/>
    <x v="3"/>
    <x v="1"/>
    <n v="120"/>
    <n v="539760"/>
    <x v="4"/>
    <n v="2076"/>
    <n v="726600"/>
    <n v="43596"/>
    <x v="2"/>
    <n v="683004"/>
    <n v="143244"/>
    <x v="0"/>
    <n v="0.26538461538461539"/>
    <n v="249120"/>
    <n v="290640"/>
    <n v="120"/>
  </r>
  <r>
    <x v="11"/>
    <x v="1"/>
    <x v="2"/>
    <x v="3"/>
    <x v="1"/>
    <n v="260"/>
    <n v="7015"/>
    <x v="2"/>
    <n v="1403"/>
    <n v="9821"/>
    <n v="589.26"/>
    <x v="2"/>
    <n v="9231.74"/>
    <n v="2216.7399999999998"/>
    <x v="0"/>
    <n v="0.31599999999999995"/>
    <n v="364780"/>
    <n v="-357765"/>
    <n v="5"/>
  </r>
  <r>
    <x v="11"/>
    <x v="1"/>
    <x v="2"/>
    <x v="3"/>
    <x v="1"/>
    <n v="260"/>
    <n v="539760"/>
    <x v="4"/>
    <n v="2076"/>
    <n v="726600"/>
    <n v="43596"/>
    <x v="2"/>
    <n v="683004"/>
    <n v="143244"/>
    <x v="0"/>
    <n v="0.26538461538461539"/>
    <n v="539760"/>
    <n v="0"/>
    <n v="260"/>
  </r>
  <r>
    <x v="11"/>
    <x v="3"/>
    <x v="2"/>
    <x v="3"/>
    <x v="1"/>
    <n v="5"/>
    <n v="17570"/>
    <x v="3"/>
    <n v="1757"/>
    <n v="35140"/>
    <n v="2108.4"/>
    <x v="2"/>
    <n v="33031.599999999999"/>
    <n v="15461.599999999999"/>
    <x v="0"/>
    <n v="0.87999999999999989"/>
    <n v="8785"/>
    <n v="8785"/>
    <n v="5"/>
  </r>
  <r>
    <x v="11"/>
    <x v="0"/>
    <x v="2"/>
    <x v="3"/>
    <x v="1"/>
    <n v="10"/>
    <n v="17570"/>
    <x v="3"/>
    <n v="1757"/>
    <n v="35140"/>
    <n v="2108.4"/>
    <x v="2"/>
    <n v="33031.599999999999"/>
    <n v="15461.599999999999"/>
    <x v="0"/>
    <n v="0.87999999999999989"/>
    <n v="17570"/>
    <n v="0"/>
    <n v="10"/>
  </r>
  <r>
    <x v="4"/>
    <x v="0"/>
    <x v="2"/>
    <x v="3"/>
    <x v="1"/>
    <n v="10"/>
    <n v="5155"/>
    <x v="2"/>
    <n v="1031"/>
    <n v="7217"/>
    <n v="505.19"/>
    <x v="2"/>
    <n v="6711.81"/>
    <n v="1556.8100000000004"/>
    <x v="0"/>
    <n v="0.3020000000000001"/>
    <n v="10310"/>
    <n v="-5155"/>
    <n v="5"/>
  </r>
  <r>
    <x v="13"/>
    <x v="3"/>
    <x v="2"/>
    <x v="3"/>
    <x v="1"/>
    <n v="5"/>
    <n v="19760"/>
    <x v="3"/>
    <n v="1976"/>
    <n v="39520"/>
    <n v="2766.4"/>
    <x v="2"/>
    <n v="36753.599999999999"/>
    <n v="16993.599999999999"/>
    <x v="0"/>
    <n v="0.85999999999999988"/>
    <n v="9880"/>
    <n v="9880"/>
    <n v="5"/>
  </r>
  <r>
    <x v="6"/>
    <x v="0"/>
    <x v="2"/>
    <x v="3"/>
    <x v="1"/>
    <n v="10"/>
    <n v="15350"/>
    <x v="3"/>
    <n v="1535"/>
    <n v="30700"/>
    <n v="2149"/>
    <x v="2"/>
    <n v="28551"/>
    <n v="13201"/>
    <x v="0"/>
    <n v="0.86"/>
    <n v="15350"/>
    <n v="0"/>
    <n v="10"/>
  </r>
  <r>
    <x v="13"/>
    <x v="4"/>
    <x v="2"/>
    <x v="3"/>
    <x v="1"/>
    <n v="120"/>
    <n v="19760"/>
    <x v="3"/>
    <n v="1976"/>
    <n v="39520"/>
    <n v="2766.4"/>
    <x v="2"/>
    <n v="36753.599999999999"/>
    <n v="16993.599999999999"/>
    <x v="0"/>
    <n v="0.85999999999999988"/>
    <n v="237120"/>
    <n v="-217360"/>
    <n v="10"/>
  </r>
  <r>
    <x v="6"/>
    <x v="1"/>
    <x v="2"/>
    <x v="3"/>
    <x v="1"/>
    <n v="260"/>
    <n v="747760"/>
    <x v="4"/>
    <n v="2876"/>
    <n v="1006600"/>
    <n v="70462"/>
    <x v="2"/>
    <n v="936138"/>
    <n v="188378"/>
    <x v="0"/>
    <n v="0.25192307692307692"/>
    <n v="747760"/>
    <n v="0"/>
    <n v="260"/>
  </r>
  <r>
    <x v="1"/>
    <x v="5"/>
    <x v="2"/>
    <x v="3"/>
    <x v="1"/>
    <n v="250"/>
    <n v="149370"/>
    <x v="4"/>
    <n v="574.5"/>
    <n v="201075"/>
    <n v="16086"/>
    <x v="2"/>
    <n v="184989"/>
    <n v="35619"/>
    <x v="0"/>
    <n v="0.23846153846153847"/>
    <n v="143625"/>
    <n v="5745"/>
    <n v="250"/>
  </r>
  <r>
    <x v="2"/>
    <x v="5"/>
    <x v="2"/>
    <x v="3"/>
    <x v="1"/>
    <n v="250"/>
    <n v="99060"/>
    <x v="4"/>
    <n v="381"/>
    <n v="133350"/>
    <n v="10668"/>
    <x v="2"/>
    <n v="122682"/>
    <n v="23622"/>
    <x v="0"/>
    <n v="0.23846153846153847"/>
    <n v="95250"/>
    <n v="3810"/>
    <n v="250"/>
  </r>
  <r>
    <x v="15"/>
    <x v="3"/>
    <x v="2"/>
    <x v="3"/>
    <x v="1"/>
    <n v="5"/>
    <n v="433160"/>
    <x v="4"/>
    <n v="1666"/>
    <n v="583100"/>
    <n v="52479"/>
    <x v="2"/>
    <n v="530621"/>
    <n v="97461"/>
    <x v="0"/>
    <n v="0.22500000000000001"/>
    <n v="8330"/>
    <n v="424830"/>
    <n v="5"/>
  </r>
  <r>
    <x v="0"/>
    <x v="5"/>
    <x v="2"/>
    <x v="3"/>
    <x v="1"/>
    <n v="250"/>
    <n v="26820"/>
    <x v="3"/>
    <n v="2682"/>
    <n v="53640"/>
    <n v="4827.6000000000004"/>
    <x v="2"/>
    <n v="48812.4"/>
    <n v="21992.400000000001"/>
    <x v="0"/>
    <n v="0.82000000000000006"/>
    <n v="670500"/>
    <n v="-643680"/>
    <n v="10"/>
  </r>
  <r>
    <x v="8"/>
    <x v="0"/>
    <x v="2"/>
    <x v="3"/>
    <x v="1"/>
    <n v="10"/>
    <n v="19540"/>
    <x v="3"/>
    <n v="1954"/>
    <n v="39080"/>
    <n v="3908"/>
    <x v="3"/>
    <n v="35172"/>
    <n v="15632"/>
    <x v="0"/>
    <n v="0.8"/>
    <n v="19540"/>
    <n v="0"/>
    <n v="10"/>
  </r>
  <r>
    <x v="7"/>
    <x v="4"/>
    <x v="2"/>
    <x v="3"/>
    <x v="1"/>
    <n v="120"/>
    <n v="166140"/>
    <x v="4"/>
    <n v="639"/>
    <n v="223650"/>
    <n v="22365"/>
    <x v="3"/>
    <n v="201285"/>
    <n v="35145"/>
    <x v="0"/>
    <n v="0.21153846153846154"/>
    <n v="76680"/>
    <n v="89460"/>
    <n v="120"/>
  </r>
  <r>
    <x v="1"/>
    <x v="0"/>
    <x v="2"/>
    <x v="3"/>
    <x v="1"/>
    <n v="10"/>
    <n v="12660"/>
    <x v="2"/>
    <n v="2532"/>
    <n v="17724"/>
    <n v="1949.64"/>
    <x v="3"/>
    <n v="15774.36"/>
    <n v="3114.3600000000006"/>
    <x v="0"/>
    <n v="0.24600000000000005"/>
    <n v="25320"/>
    <n v="-12660"/>
    <n v="5"/>
  </r>
  <r>
    <x v="4"/>
    <x v="4"/>
    <x v="2"/>
    <x v="3"/>
    <x v="1"/>
    <n v="120"/>
    <n v="28050"/>
    <x v="3"/>
    <n v="2805"/>
    <n v="56100"/>
    <n v="6171"/>
    <x v="3"/>
    <n v="49929"/>
    <n v="21879"/>
    <x v="0"/>
    <n v="0.78"/>
    <n v="336600"/>
    <n v="-308550"/>
    <n v="10"/>
  </r>
  <r>
    <x v="9"/>
    <x v="0"/>
    <x v="2"/>
    <x v="3"/>
    <x v="1"/>
    <n v="10"/>
    <n v="414440"/>
    <x v="4"/>
    <n v="1594"/>
    <n v="557900"/>
    <n v="66948"/>
    <x v="3"/>
    <n v="490952"/>
    <n v="76512"/>
    <x v="1"/>
    <n v="0.18461538461538463"/>
    <n v="15940"/>
    <n v="398500"/>
    <n v="10"/>
  </r>
  <r>
    <x v="7"/>
    <x v="1"/>
    <x v="2"/>
    <x v="3"/>
    <x v="1"/>
    <n v="260"/>
    <n v="17107.5"/>
    <x v="2"/>
    <n v="3421.5"/>
    <n v="23950.5"/>
    <n v="2874.06"/>
    <x v="3"/>
    <n v="21076.44"/>
    <n v="3968.9399999999987"/>
    <x v="0"/>
    <n v="0.23199999999999993"/>
    <n v="889590"/>
    <n v="-872482.5"/>
    <n v="5"/>
  </r>
  <r>
    <x v="10"/>
    <x v="2"/>
    <x v="2"/>
    <x v="3"/>
    <x v="1"/>
    <n v="3"/>
    <n v="25215"/>
    <x v="3"/>
    <n v="2521.5"/>
    <n v="50430"/>
    <n v="6051.6"/>
    <x v="3"/>
    <n v="44378.400000000001"/>
    <n v="19163.400000000001"/>
    <x v="0"/>
    <n v="0.76"/>
    <n v="7564.5"/>
    <n v="17650.5"/>
    <n v="3"/>
  </r>
  <r>
    <x v="8"/>
    <x v="5"/>
    <x v="2"/>
    <x v="3"/>
    <x v="1"/>
    <n v="250"/>
    <n v="7455"/>
    <x v="2"/>
    <n v="1491"/>
    <n v="10437"/>
    <n v="1252.44"/>
    <x v="3"/>
    <n v="9184.56"/>
    <n v="1729.5599999999995"/>
    <x v="0"/>
    <n v="0.23199999999999993"/>
    <n v="372750"/>
    <n v="-365295"/>
    <n v="5"/>
  </r>
  <r>
    <x v="8"/>
    <x v="2"/>
    <x v="2"/>
    <x v="3"/>
    <x v="1"/>
    <n v="3"/>
    <n v="465400"/>
    <x v="4"/>
    <n v="1790"/>
    <n v="626500"/>
    <n v="81445"/>
    <x v="3"/>
    <n v="545055"/>
    <n v="79655"/>
    <x v="1"/>
    <n v="0.17115384615384616"/>
    <n v="5370"/>
    <n v="460030"/>
    <n v="3"/>
  </r>
  <r>
    <x v="2"/>
    <x v="0"/>
    <x v="2"/>
    <x v="3"/>
    <x v="1"/>
    <n v="10"/>
    <n v="13480"/>
    <x v="2"/>
    <n v="2696"/>
    <n v="18872"/>
    <n v="2453.36"/>
    <x v="3"/>
    <n v="16418.64"/>
    <n v="2938.6399999999994"/>
    <x v="0"/>
    <n v="0.21799999999999994"/>
    <n v="26960"/>
    <n v="-13480"/>
    <n v="5"/>
  </r>
  <r>
    <x v="5"/>
    <x v="4"/>
    <x v="2"/>
    <x v="3"/>
    <x v="1"/>
    <n v="120"/>
    <n v="5950"/>
    <x v="2"/>
    <n v="1190"/>
    <n v="8330"/>
    <n v="1082.9000000000001"/>
    <x v="3"/>
    <n v="7247.1"/>
    <n v="1297.1000000000004"/>
    <x v="0"/>
    <n v="0.21800000000000005"/>
    <n v="142800"/>
    <n v="-136850"/>
    <n v="5"/>
  </r>
  <r>
    <x v="5"/>
    <x v="1"/>
    <x v="2"/>
    <x v="3"/>
    <x v="1"/>
    <n v="260"/>
    <n v="5950"/>
    <x v="2"/>
    <n v="1190"/>
    <n v="8330"/>
    <n v="1082.9000000000001"/>
    <x v="3"/>
    <n v="7247.1"/>
    <n v="1297.1000000000004"/>
    <x v="0"/>
    <n v="0.21800000000000005"/>
    <n v="309400"/>
    <n v="-303450"/>
    <n v="5"/>
  </r>
  <r>
    <x v="3"/>
    <x v="3"/>
    <x v="2"/>
    <x v="3"/>
    <x v="1"/>
    <n v="5"/>
    <n v="1465"/>
    <x v="2"/>
    <n v="293"/>
    <n v="2051"/>
    <n v="287.14"/>
    <x v="3"/>
    <n v="1763.86"/>
    <n v="298.8599999999999"/>
    <x v="0"/>
    <n v="0.20399999999999993"/>
    <n v="1465"/>
    <n v="0"/>
    <n v="5"/>
  </r>
  <r>
    <x v="13"/>
    <x v="0"/>
    <x v="2"/>
    <x v="3"/>
    <x v="1"/>
    <n v="10"/>
    <n v="8655"/>
    <x v="2"/>
    <n v="1731"/>
    <n v="12117"/>
    <n v="1696.38"/>
    <x v="3"/>
    <n v="10420.620000000001"/>
    <n v="1765.6200000000008"/>
    <x v="0"/>
    <n v="0.2040000000000001"/>
    <n v="17310"/>
    <n v="-8655"/>
    <n v="5"/>
  </r>
  <r>
    <x v="0"/>
    <x v="0"/>
    <x v="2"/>
    <x v="3"/>
    <x v="1"/>
    <n v="10"/>
    <n v="499720"/>
    <x v="4"/>
    <n v="1922"/>
    <n v="672700"/>
    <n v="94178"/>
    <x v="3"/>
    <n v="578522"/>
    <n v="78802"/>
    <x v="1"/>
    <n v="0.15769230769230769"/>
    <n v="19220"/>
    <n v="480500"/>
    <n v="10"/>
  </r>
  <r>
    <x v="12"/>
    <x v="5"/>
    <x v="2"/>
    <x v="3"/>
    <x v="1"/>
    <n v="250"/>
    <n v="333060"/>
    <x v="4"/>
    <n v="1281"/>
    <n v="448350"/>
    <n v="62769"/>
    <x v="3"/>
    <n v="385581"/>
    <n v="52521"/>
    <x v="1"/>
    <n v="0.15769230769230769"/>
    <n v="320250"/>
    <n v="12810"/>
    <n v="250"/>
  </r>
  <r>
    <x v="13"/>
    <x v="1"/>
    <x v="2"/>
    <x v="3"/>
    <x v="1"/>
    <n v="260"/>
    <n v="8655"/>
    <x v="2"/>
    <n v="1731"/>
    <n v="12117"/>
    <n v="1696.38"/>
    <x v="3"/>
    <n v="10420.620000000001"/>
    <n v="1765.6200000000008"/>
    <x v="0"/>
    <n v="0.2040000000000001"/>
    <n v="450060"/>
    <n v="-441405"/>
    <n v="5"/>
  </r>
  <r>
    <x v="14"/>
    <x v="0"/>
    <x v="2"/>
    <x v="3"/>
    <x v="1"/>
    <n v="10"/>
    <n v="2930"/>
    <x v="3"/>
    <n v="293"/>
    <n v="5860"/>
    <n v="879"/>
    <x v="3"/>
    <n v="4981"/>
    <n v="2051"/>
    <x v="0"/>
    <n v="0.7"/>
    <n v="2930"/>
    <n v="0"/>
    <n v="10"/>
  </r>
  <r>
    <x v="14"/>
    <x v="5"/>
    <x v="2"/>
    <x v="3"/>
    <x v="1"/>
    <n v="250"/>
    <n v="2930"/>
    <x v="3"/>
    <n v="293"/>
    <n v="5860"/>
    <n v="879"/>
    <x v="3"/>
    <n v="4981"/>
    <n v="2051"/>
    <x v="0"/>
    <n v="0.7"/>
    <n v="73250"/>
    <n v="-70320"/>
    <n v="10"/>
  </r>
  <r>
    <x v="10"/>
    <x v="2"/>
    <x v="2"/>
    <x v="4"/>
    <x v="0"/>
    <n v="3"/>
    <n v="16185"/>
    <x v="3"/>
    <n v="1618.5"/>
    <n v="32370"/>
    <n v="0"/>
    <x v="0"/>
    <n v="32370"/>
    <n v="16185"/>
    <x v="0"/>
    <n v="1"/>
    <n v="4855.5"/>
    <n v="11329.5"/>
    <n v="3"/>
  </r>
  <r>
    <x v="3"/>
    <x v="0"/>
    <x v="2"/>
    <x v="4"/>
    <x v="0"/>
    <n v="10"/>
    <n v="2920"/>
    <x v="3"/>
    <n v="292"/>
    <n v="5840"/>
    <n v="0"/>
    <x v="0"/>
    <n v="5840"/>
    <n v="2920"/>
    <x v="0"/>
    <n v="1"/>
    <n v="2920"/>
    <n v="0"/>
    <n v="10"/>
  </r>
  <r>
    <x v="0"/>
    <x v="0"/>
    <x v="2"/>
    <x v="4"/>
    <x v="0"/>
    <n v="10"/>
    <n v="448500"/>
    <x v="4"/>
    <n v="1725"/>
    <n v="603750"/>
    <n v="0"/>
    <x v="0"/>
    <n v="603750"/>
    <n v="155250"/>
    <x v="0"/>
    <n v="0.34615384615384615"/>
    <n v="17250"/>
    <n v="431250"/>
    <n v="10"/>
  </r>
  <r>
    <x v="14"/>
    <x v="0"/>
    <x v="2"/>
    <x v="4"/>
    <x v="0"/>
    <n v="10"/>
    <n v="18170"/>
    <x v="3"/>
    <n v="1817"/>
    <n v="36340"/>
    <n v="0"/>
    <x v="0"/>
    <n v="36340"/>
    <n v="18170"/>
    <x v="0"/>
    <n v="1"/>
    <n v="18170"/>
    <n v="0"/>
    <n v="10"/>
  </r>
  <r>
    <x v="14"/>
    <x v="5"/>
    <x v="2"/>
    <x v="4"/>
    <x v="0"/>
    <n v="250"/>
    <n v="18170"/>
    <x v="3"/>
    <n v="1817"/>
    <n v="36340"/>
    <n v="0"/>
    <x v="0"/>
    <n v="36340"/>
    <n v="18170"/>
    <x v="0"/>
    <n v="1"/>
    <n v="454250"/>
    <n v="-436080"/>
    <n v="10"/>
  </r>
  <r>
    <x v="8"/>
    <x v="5"/>
    <x v="2"/>
    <x v="4"/>
    <x v="0"/>
    <n v="250"/>
    <n v="6630"/>
    <x v="2"/>
    <n v="1326"/>
    <n v="9282"/>
    <n v="92.82"/>
    <x v="1"/>
    <n v="9189.18"/>
    <n v="2559.1800000000003"/>
    <x v="0"/>
    <n v="0.38600000000000007"/>
    <n v="331500"/>
    <n v="-324870"/>
    <n v="5"/>
  </r>
  <r>
    <x v="2"/>
    <x v="3"/>
    <x v="2"/>
    <x v="4"/>
    <x v="0"/>
    <n v="5"/>
    <n v="9150"/>
    <x v="2"/>
    <n v="1830"/>
    <n v="12810"/>
    <n v="128.1"/>
    <x v="1"/>
    <n v="12681.9"/>
    <n v="3531.8999999999996"/>
    <x v="0"/>
    <n v="0.38599999999999995"/>
    <n v="9150"/>
    <n v="0"/>
    <n v="5"/>
  </r>
  <r>
    <x v="0"/>
    <x v="4"/>
    <x v="2"/>
    <x v="4"/>
    <x v="0"/>
    <n v="120"/>
    <n v="10460"/>
    <x v="2"/>
    <n v="2092"/>
    <n v="14644"/>
    <n v="146.44"/>
    <x v="1"/>
    <n v="14497.56"/>
    <n v="4037.5599999999995"/>
    <x v="0"/>
    <n v="0.38599999999999995"/>
    <n v="251040"/>
    <n v="-240580"/>
    <n v="5"/>
  </r>
  <r>
    <x v="1"/>
    <x v="5"/>
    <x v="2"/>
    <x v="4"/>
    <x v="0"/>
    <n v="250"/>
    <n v="245310"/>
    <x v="4"/>
    <n v="943.5"/>
    <n v="330225"/>
    <n v="3302.25"/>
    <x v="1"/>
    <n v="326922.75"/>
    <n v="81612.75"/>
    <x v="0"/>
    <n v="0.33269230769230768"/>
    <n v="235875"/>
    <n v="9435"/>
    <n v="250"/>
  </r>
  <r>
    <x v="14"/>
    <x v="2"/>
    <x v="2"/>
    <x v="4"/>
    <x v="0"/>
    <n v="3"/>
    <n v="741520"/>
    <x v="4"/>
    <n v="2852"/>
    <n v="998200"/>
    <n v="19964"/>
    <x v="1"/>
    <n v="978236"/>
    <n v="236716"/>
    <x v="0"/>
    <n v="0.31923076923076921"/>
    <n v="8556"/>
    <n v="732964"/>
    <n v="3"/>
  </r>
  <r>
    <x v="14"/>
    <x v="0"/>
    <x v="2"/>
    <x v="4"/>
    <x v="0"/>
    <n v="10"/>
    <n v="741520"/>
    <x v="4"/>
    <n v="2852"/>
    <n v="998200"/>
    <n v="19964"/>
    <x v="1"/>
    <n v="978236"/>
    <n v="236716"/>
    <x v="0"/>
    <n v="0.31923076923076921"/>
    <n v="28520"/>
    <n v="713000"/>
    <n v="10"/>
  </r>
  <r>
    <x v="15"/>
    <x v="2"/>
    <x v="2"/>
    <x v="4"/>
    <x v="0"/>
    <n v="3"/>
    <n v="8310"/>
    <x v="3"/>
    <n v="831"/>
    <n v="16620"/>
    <n v="498.6"/>
    <x v="1"/>
    <n v="16121.4"/>
    <n v="7811.4"/>
    <x v="0"/>
    <n v="0.94"/>
    <n v="2493"/>
    <n v="5817"/>
    <n v="3"/>
  </r>
  <r>
    <x v="1"/>
    <x v="4"/>
    <x v="2"/>
    <x v="4"/>
    <x v="0"/>
    <n v="120"/>
    <n v="38505"/>
    <x v="3"/>
    <n v="3850.5"/>
    <n v="77010"/>
    <n v="2310.3000000000002"/>
    <x v="1"/>
    <n v="74699.7"/>
    <n v="36194.699999999997"/>
    <x v="0"/>
    <n v="0.94"/>
    <n v="462060"/>
    <n v="-423555"/>
    <n v="10"/>
  </r>
  <r>
    <x v="11"/>
    <x v="2"/>
    <x v="2"/>
    <x v="4"/>
    <x v="0"/>
    <n v="3"/>
    <n v="14255"/>
    <x v="2"/>
    <n v="2851"/>
    <n v="19957"/>
    <n v="798.28"/>
    <x v="1"/>
    <n v="19158.72"/>
    <n v="4903.7200000000012"/>
    <x v="0"/>
    <n v="0.34400000000000008"/>
    <n v="8553"/>
    <n v="5702"/>
    <n v="3"/>
  </r>
  <r>
    <x v="11"/>
    <x v="3"/>
    <x v="2"/>
    <x v="4"/>
    <x v="0"/>
    <n v="5"/>
    <n v="14255"/>
    <x v="2"/>
    <n v="2851"/>
    <n v="19957"/>
    <n v="798.28"/>
    <x v="1"/>
    <n v="19158.72"/>
    <n v="4903.7200000000012"/>
    <x v="0"/>
    <n v="0.34400000000000008"/>
    <n v="14255"/>
    <n v="0"/>
    <n v="5"/>
  </r>
  <r>
    <x v="10"/>
    <x v="0"/>
    <x v="2"/>
    <x v="4"/>
    <x v="0"/>
    <n v="10"/>
    <n v="21255"/>
    <x v="2"/>
    <n v="4251"/>
    <n v="29757"/>
    <n v="1190.28"/>
    <x v="1"/>
    <n v="28566.720000000001"/>
    <n v="7311.7200000000012"/>
    <x v="0"/>
    <n v="0.34400000000000003"/>
    <n v="42510"/>
    <n v="-21255"/>
    <n v="5"/>
  </r>
  <r>
    <x v="6"/>
    <x v="0"/>
    <x v="2"/>
    <x v="4"/>
    <x v="0"/>
    <n v="10"/>
    <n v="20740"/>
    <x v="3"/>
    <n v="2074"/>
    <n v="41480"/>
    <n v="1659.2"/>
    <x v="1"/>
    <n v="39820.800000000003"/>
    <n v="19080.800000000003"/>
    <x v="0"/>
    <n v="0.92000000000000015"/>
    <n v="20740"/>
    <n v="0"/>
    <n v="10"/>
  </r>
  <r>
    <x v="4"/>
    <x v="4"/>
    <x v="2"/>
    <x v="4"/>
    <x v="0"/>
    <n v="120"/>
    <n v="26460"/>
    <x v="3"/>
    <n v="2646"/>
    <n v="52920"/>
    <n v="2116.8000000000002"/>
    <x v="1"/>
    <n v="50803.199999999997"/>
    <n v="24343.199999999997"/>
    <x v="0"/>
    <n v="0.91999999999999993"/>
    <n v="317520"/>
    <n v="-291060"/>
    <n v="10"/>
  </r>
  <r>
    <x v="12"/>
    <x v="1"/>
    <x v="2"/>
    <x v="4"/>
    <x v="0"/>
    <n v="260"/>
    <n v="462280"/>
    <x v="4"/>
    <n v="1778"/>
    <n v="622300"/>
    <n v="24892"/>
    <x v="1"/>
    <n v="597408"/>
    <n v="135128"/>
    <x v="0"/>
    <n v="0.29230769230769232"/>
    <n v="462280"/>
    <n v="0"/>
    <n v="260"/>
  </r>
  <r>
    <x v="4"/>
    <x v="0"/>
    <x v="2"/>
    <x v="4"/>
    <x v="0"/>
    <n v="10"/>
    <n v="11745"/>
    <x v="2"/>
    <n v="2349"/>
    <n v="16443"/>
    <n v="822.15"/>
    <x v="2"/>
    <n v="15620.85"/>
    <n v="3875.8500000000004"/>
    <x v="0"/>
    <n v="0.33"/>
    <n v="23490"/>
    <n v="-11745"/>
    <n v="5"/>
  </r>
  <r>
    <x v="11"/>
    <x v="0"/>
    <x v="2"/>
    <x v="4"/>
    <x v="0"/>
    <n v="10"/>
    <n v="319280"/>
    <x v="4"/>
    <n v="1228"/>
    <n v="429800"/>
    <n v="21490"/>
    <x v="2"/>
    <n v="408310"/>
    <n v="89030"/>
    <x v="0"/>
    <n v="0.27884615384615385"/>
    <n v="12280"/>
    <n v="307000"/>
    <n v="10"/>
  </r>
  <r>
    <x v="11"/>
    <x v="0"/>
    <x v="2"/>
    <x v="4"/>
    <x v="0"/>
    <n v="10"/>
    <n v="13890"/>
    <x v="3"/>
    <n v="1389"/>
    <n v="27780"/>
    <n v="1389"/>
    <x v="2"/>
    <n v="26391"/>
    <n v="12501"/>
    <x v="0"/>
    <n v="0.9"/>
    <n v="13890"/>
    <n v="0"/>
    <n v="10"/>
  </r>
  <r>
    <x v="12"/>
    <x v="0"/>
    <x v="2"/>
    <x v="4"/>
    <x v="0"/>
    <n v="10"/>
    <n v="18020"/>
    <x v="3"/>
    <n v="1802"/>
    <n v="36040"/>
    <n v="1802"/>
    <x v="2"/>
    <n v="34238"/>
    <n v="16218"/>
    <x v="0"/>
    <n v="0.9"/>
    <n v="18020"/>
    <n v="0"/>
    <n v="10"/>
  </r>
  <r>
    <x v="11"/>
    <x v="5"/>
    <x v="2"/>
    <x v="4"/>
    <x v="0"/>
    <n v="250"/>
    <n v="13890"/>
    <x v="3"/>
    <n v="1389"/>
    <n v="27780"/>
    <n v="1389"/>
    <x v="2"/>
    <n v="26391"/>
    <n v="12501"/>
    <x v="0"/>
    <n v="0.9"/>
    <n v="347250"/>
    <n v="-333360"/>
    <n v="10"/>
  </r>
  <r>
    <x v="2"/>
    <x v="1"/>
    <x v="2"/>
    <x v="4"/>
    <x v="0"/>
    <n v="260"/>
    <n v="143520"/>
    <x v="4"/>
    <n v="552"/>
    <n v="193200"/>
    <n v="9660"/>
    <x v="2"/>
    <n v="183540"/>
    <n v="40020"/>
    <x v="0"/>
    <n v="0.27884615384615385"/>
    <n v="143520"/>
    <n v="0"/>
    <n v="260"/>
  </r>
  <r>
    <x v="11"/>
    <x v="1"/>
    <x v="2"/>
    <x v="4"/>
    <x v="0"/>
    <n v="260"/>
    <n v="319280"/>
    <x v="4"/>
    <n v="1228"/>
    <n v="429800"/>
    <n v="21490"/>
    <x v="2"/>
    <n v="408310"/>
    <n v="89030"/>
    <x v="0"/>
    <n v="0.27884615384615385"/>
    <n v="319280"/>
    <n v="0"/>
    <n v="260"/>
  </r>
  <r>
    <x v="5"/>
    <x v="4"/>
    <x v="2"/>
    <x v="4"/>
    <x v="0"/>
    <n v="120"/>
    <n v="5675"/>
    <x v="2"/>
    <n v="1135"/>
    <n v="7945"/>
    <n v="556.15"/>
    <x v="2"/>
    <n v="7388.85"/>
    <n v="1713.8500000000004"/>
    <x v="0"/>
    <n v="0.30200000000000005"/>
    <n v="136200"/>
    <n v="-130525"/>
    <n v="5"/>
  </r>
  <r>
    <x v="14"/>
    <x v="4"/>
    <x v="2"/>
    <x v="4"/>
    <x v="0"/>
    <n v="120"/>
    <n v="7910"/>
    <x v="2"/>
    <n v="1582"/>
    <n v="11074"/>
    <n v="775.18"/>
    <x v="2"/>
    <n v="10298.82"/>
    <n v="2388.8199999999997"/>
    <x v="0"/>
    <n v="0.30199999999999999"/>
    <n v="189840"/>
    <n v="-181930"/>
    <n v="5"/>
  </r>
  <r>
    <x v="14"/>
    <x v="5"/>
    <x v="2"/>
    <x v="4"/>
    <x v="0"/>
    <n v="250"/>
    <n v="7910"/>
    <x v="2"/>
    <n v="1582"/>
    <n v="11074"/>
    <n v="775.18"/>
    <x v="2"/>
    <n v="10298.82"/>
    <n v="2388.8199999999997"/>
    <x v="0"/>
    <n v="0.30199999999999999"/>
    <n v="395500"/>
    <n v="-387590"/>
    <n v="5"/>
  </r>
  <r>
    <x v="5"/>
    <x v="1"/>
    <x v="2"/>
    <x v="4"/>
    <x v="0"/>
    <n v="260"/>
    <n v="5675"/>
    <x v="2"/>
    <n v="1135"/>
    <n v="7945"/>
    <n v="556.15"/>
    <x v="2"/>
    <n v="7388.85"/>
    <n v="1713.8500000000004"/>
    <x v="0"/>
    <n v="0.30200000000000005"/>
    <n v="295100"/>
    <n v="-289425"/>
    <n v="5"/>
  </r>
  <r>
    <x v="9"/>
    <x v="1"/>
    <x v="2"/>
    <x v="4"/>
    <x v="0"/>
    <n v="260"/>
    <n v="11180"/>
    <x v="3"/>
    <n v="1118"/>
    <n v="22360"/>
    <n v="1565.2"/>
    <x v="2"/>
    <n v="20794.8"/>
    <n v="9614.7999999999993"/>
    <x v="0"/>
    <n v="0.86"/>
    <n v="290680"/>
    <n v="-279500"/>
    <n v="10"/>
  </r>
  <r>
    <x v="3"/>
    <x v="3"/>
    <x v="2"/>
    <x v="4"/>
    <x v="0"/>
    <n v="5"/>
    <n v="2440"/>
    <x v="2"/>
    <n v="488"/>
    <n v="3416"/>
    <n v="273.27999999999997"/>
    <x v="2"/>
    <n v="3142.72"/>
    <n v="702.7199999999998"/>
    <x v="0"/>
    <n v="0.28799999999999992"/>
    <n v="2440"/>
    <n v="0"/>
    <n v="5"/>
  </r>
  <r>
    <x v="15"/>
    <x v="0"/>
    <x v="2"/>
    <x v="4"/>
    <x v="0"/>
    <n v="10"/>
    <n v="1285"/>
    <x v="2"/>
    <n v="257"/>
    <n v="1799"/>
    <n v="143.91999999999999"/>
    <x v="2"/>
    <n v="1655.08"/>
    <n v="370.07999999999993"/>
    <x v="0"/>
    <n v="0.28799999999999992"/>
    <n v="2570"/>
    <n v="-1285"/>
    <n v="5"/>
  </r>
  <r>
    <x v="5"/>
    <x v="3"/>
    <x v="2"/>
    <x v="4"/>
    <x v="0"/>
    <n v="5"/>
    <n v="7080"/>
    <x v="3"/>
    <n v="708"/>
    <n v="14160"/>
    <n v="1132.8"/>
    <x v="2"/>
    <n v="13027.2"/>
    <n v="5947.2000000000007"/>
    <x v="0"/>
    <n v="0.84000000000000008"/>
    <n v="3540"/>
    <n v="3540"/>
    <n v="5"/>
  </r>
  <r>
    <x v="5"/>
    <x v="1"/>
    <x v="2"/>
    <x v="4"/>
    <x v="0"/>
    <n v="260"/>
    <n v="7080"/>
    <x v="3"/>
    <n v="708"/>
    <n v="14160"/>
    <n v="1132.8"/>
    <x v="2"/>
    <n v="13027.2"/>
    <n v="5947.2000000000007"/>
    <x v="0"/>
    <n v="0.84000000000000008"/>
    <n v="184080"/>
    <n v="-177000"/>
    <n v="10"/>
  </r>
  <r>
    <x v="12"/>
    <x v="3"/>
    <x v="2"/>
    <x v="4"/>
    <x v="0"/>
    <n v="5"/>
    <n v="8055"/>
    <x v="2"/>
    <n v="1611"/>
    <n v="11277"/>
    <n v="1014.93"/>
    <x v="2"/>
    <n v="10262.07"/>
    <n v="2207.0699999999997"/>
    <x v="0"/>
    <n v="0.27399999999999997"/>
    <n v="8055"/>
    <n v="0"/>
    <n v="5"/>
  </r>
  <r>
    <x v="13"/>
    <x v="4"/>
    <x v="2"/>
    <x v="4"/>
    <x v="0"/>
    <n v="120"/>
    <n v="329940"/>
    <x v="4"/>
    <n v="1269"/>
    <n v="444150"/>
    <n v="39973.5"/>
    <x v="2"/>
    <n v="404176.5"/>
    <n v="74236.5"/>
    <x v="0"/>
    <n v="0.22500000000000001"/>
    <n v="152280"/>
    <n v="177660"/>
    <n v="120"/>
  </r>
  <r>
    <x v="13"/>
    <x v="1"/>
    <x v="2"/>
    <x v="4"/>
    <x v="0"/>
    <n v="260"/>
    <n v="329940"/>
    <x v="4"/>
    <n v="1269"/>
    <n v="444150"/>
    <n v="39973.5"/>
    <x v="2"/>
    <n v="404176.5"/>
    <n v="74236.5"/>
    <x v="0"/>
    <n v="0.22500000000000001"/>
    <n v="329940"/>
    <n v="0"/>
    <n v="260"/>
  </r>
  <r>
    <x v="7"/>
    <x v="2"/>
    <x v="2"/>
    <x v="4"/>
    <x v="0"/>
    <n v="3"/>
    <n v="4095"/>
    <x v="2"/>
    <n v="819"/>
    <n v="5733"/>
    <n v="515.97"/>
    <x v="2"/>
    <n v="5217.03"/>
    <n v="1122.0299999999997"/>
    <x v="0"/>
    <n v="0.27399999999999991"/>
    <n v="2457"/>
    <n v="1638"/>
    <n v="3"/>
  </r>
  <r>
    <x v="3"/>
    <x v="1"/>
    <x v="2"/>
    <x v="4"/>
    <x v="0"/>
    <n v="260"/>
    <n v="582400"/>
    <x v="4"/>
    <n v="2240"/>
    <n v="784000"/>
    <n v="78400"/>
    <x v="3"/>
    <n v="705600"/>
    <n v="123200"/>
    <x v="0"/>
    <n v="0.21153846153846154"/>
    <n v="582400"/>
    <n v="0"/>
    <n v="260"/>
  </r>
  <r>
    <x v="6"/>
    <x v="1"/>
    <x v="2"/>
    <x v="4"/>
    <x v="0"/>
    <n v="260"/>
    <n v="183820"/>
    <x v="4"/>
    <n v="707"/>
    <n v="247450"/>
    <n v="24745"/>
    <x v="3"/>
    <n v="222705"/>
    <n v="38885"/>
    <x v="0"/>
    <n v="0.21153846153846154"/>
    <n v="183820"/>
    <n v="0"/>
    <n v="260"/>
  </r>
  <r>
    <x v="7"/>
    <x v="0"/>
    <x v="2"/>
    <x v="4"/>
    <x v="0"/>
    <n v="10"/>
    <n v="547170"/>
    <x v="4"/>
    <n v="2104.5"/>
    <n v="736575"/>
    <n v="81023.25"/>
    <x v="3"/>
    <n v="655551.75"/>
    <n v="108381.75"/>
    <x v="1"/>
    <n v="0.19807692307692307"/>
    <n v="21045"/>
    <n v="526125"/>
    <n v="10"/>
  </r>
  <r>
    <x v="2"/>
    <x v="0"/>
    <x v="2"/>
    <x v="4"/>
    <x v="0"/>
    <n v="10"/>
    <n v="23940"/>
    <x v="3"/>
    <n v="2394"/>
    <n v="47880"/>
    <n v="5266.8"/>
    <x v="3"/>
    <n v="42613.2"/>
    <n v="18673.199999999997"/>
    <x v="0"/>
    <n v="0.77999999999999992"/>
    <n v="23940"/>
    <n v="0"/>
    <n v="10"/>
  </r>
  <r>
    <x v="9"/>
    <x v="4"/>
    <x v="2"/>
    <x v="4"/>
    <x v="0"/>
    <n v="120"/>
    <n v="9040"/>
    <x v="2"/>
    <n v="1808"/>
    <n v="12656"/>
    <n v="1392.16"/>
    <x v="3"/>
    <n v="11263.84"/>
    <n v="2223.84"/>
    <x v="0"/>
    <n v="0.24600000000000002"/>
    <n v="216960"/>
    <n v="-207920"/>
    <n v="5"/>
  </r>
  <r>
    <x v="0"/>
    <x v="5"/>
    <x v="2"/>
    <x v="4"/>
    <x v="0"/>
    <n v="250"/>
    <n v="29350"/>
    <x v="3"/>
    <n v="2935"/>
    <n v="58700"/>
    <n v="6457"/>
    <x v="3"/>
    <n v="52243"/>
    <n v="22893"/>
    <x v="0"/>
    <n v="0.78"/>
    <n v="733750"/>
    <n v="-704400"/>
    <n v="10"/>
  </r>
  <r>
    <x v="13"/>
    <x v="3"/>
    <x v="2"/>
    <x v="4"/>
    <x v="0"/>
    <n v="5"/>
    <n v="13670"/>
    <x v="2"/>
    <n v="2734"/>
    <n v="19138"/>
    <n v="2296.56"/>
    <x v="3"/>
    <n v="16841.439999999999"/>
    <n v="3171.4399999999987"/>
    <x v="0"/>
    <n v="0.2319999999999999"/>
    <n v="13670"/>
    <n v="0"/>
    <n v="5"/>
  </r>
  <r>
    <x v="4"/>
    <x v="5"/>
    <x v="2"/>
    <x v="4"/>
    <x v="0"/>
    <n v="250"/>
    <n v="161980"/>
    <x v="4"/>
    <n v="623"/>
    <n v="218050"/>
    <n v="26166"/>
    <x v="3"/>
    <n v="191884"/>
    <n v="29904"/>
    <x v="1"/>
    <n v="0.18461538461538463"/>
    <n v="155750"/>
    <n v="6230"/>
    <n v="250"/>
  </r>
  <r>
    <x v="13"/>
    <x v="1"/>
    <x v="2"/>
    <x v="4"/>
    <x v="0"/>
    <n v="260"/>
    <n v="13670"/>
    <x v="2"/>
    <n v="2734"/>
    <n v="19138"/>
    <n v="2296.56"/>
    <x v="3"/>
    <n v="16841.439999999999"/>
    <n v="3171.4399999999987"/>
    <x v="0"/>
    <n v="0.2319999999999999"/>
    <n v="710840"/>
    <n v="-697170"/>
    <n v="5"/>
  </r>
  <r>
    <x v="8"/>
    <x v="2"/>
    <x v="2"/>
    <x v="4"/>
    <x v="0"/>
    <n v="3"/>
    <n v="239980"/>
    <x v="4"/>
    <n v="923"/>
    <n v="323050"/>
    <n v="41996.5"/>
    <x v="3"/>
    <n v="281053.5"/>
    <n v="41073.5"/>
    <x v="1"/>
    <n v="0.17115384615384616"/>
    <n v="2769"/>
    <n v="237211"/>
    <n v="3"/>
  </r>
  <r>
    <x v="13"/>
    <x v="3"/>
    <x v="2"/>
    <x v="4"/>
    <x v="0"/>
    <n v="5"/>
    <n v="12490"/>
    <x v="3"/>
    <n v="1249"/>
    <n v="24980"/>
    <n v="3247.4"/>
    <x v="3"/>
    <n v="21732.6"/>
    <n v="9242.5999999999985"/>
    <x v="0"/>
    <n v="0.73999999999999988"/>
    <n v="6245"/>
    <n v="6245"/>
    <n v="5"/>
  </r>
  <r>
    <x v="5"/>
    <x v="0"/>
    <x v="2"/>
    <x v="4"/>
    <x v="0"/>
    <n v="10"/>
    <n v="684320"/>
    <x v="4"/>
    <n v="2632"/>
    <n v="921200"/>
    <n v="119756"/>
    <x v="3"/>
    <n v="801444"/>
    <n v="117124"/>
    <x v="1"/>
    <n v="0.17115384615384616"/>
    <n v="26320"/>
    <n v="658000"/>
    <n v="10"/>
  </r>
  <r>
    <x v="13"/>
    <x v="0"/>
    <x v="2"/>
    <x v="4"/>
    <x v="0"/>
    <n v="10"/>
    <n v="12490"/>
    <x v="3"/>
    <n v="1249"/>
    <n v="24980"/>
    <n v="3247.4"/>
    <x v="3"/>
    <n v="21732.6"/>
    <n v="9242.5999999999985"/>
    <x v="0"/>
    <n v="0.73999999999999988"/>
    <n v="12490"/>
    <n v="0"/>
    <n v="10"/>
  </r>
  <r>
    <x v="5"/>
    <x v="4"/>
    <x v="2"/>
    <x v="4"/>
    <x v="0"/>
    <n v="120"/>
    <n v="684320"/>
    <x v="4"/>
    <n v="2632"/>
    <n v="921200"/>
    <n v="119756"/>
    <x v="3"/>
    <n v="801444"/>
    <n v="117124"/>
    <x v="1"/>
    <n v="0.17115384615384616"/>
    <n v="315840"/>
    <n v="368480"/>
    <n v="120"/>
  </r>
  <r>
    <x v="8"/>
    <x v="0"/>
    <x v="2"/>
    <x v="4"/>
    <x v="0"/>
    <n v="10"/>
    <n v="24280"/>
    <x v="3"/>
    <n v="2428"/>
    <n v="48560"/>
    <n v="6798.4"/>
    <x v="3"/>
    <n v="41761.599999999999"/>
    <n v="17481.599999999999"/>
    <x v="0"/>
    <n v="0.72"/>
    <n v="24280"/>
    <n v="0"/>
    <n v="10"/>
  </r>
  <r>
    <x v="10"/>
    <x v="3"/>
    <x v="2"/>
    <x v="4"/>
    <x v="0"/>
    <n v="5"/>
    <n v="579150"/>
    <x v="4"/>
    <n v="2227.5"/>
    <n v="779625"/>
    <n v="109147.5"/>
    <x v="3"/>
    <n v="670477.5"/>
    <n v="91327.5"/>
    <x v="1"/>
    <n v="0.15769230769230769"/>
    <n v="11137.5"/>
    <n v="568012.5"/>
    <n v="5"/>
  </r>
  <r>
    <x v="15"/>
    <x v="3"/>
    <x v="2"/>
    <x v="4"/>
    <x v="0"/>
    <n v="5"/>
    <n v="52000"/>
    <x v="4"/>
    <n v="200"/>
    <n v="70000"/>
    <n v="9800"/>
    <x v="3"/>
    <n v="60200"/>
    <n v="8200"/>
    <x v="1"/>
    <n v="0.15769230769230769"/>
    <n v="1000"/>
    <n v="51000"/>
    <n v="5"/>
  </r>
  <r>
    <x v="6"/>
    <x v="3"/>
    <x v="2"/>
    <x v="4"/>
    <x v="0"/>
    <n v="5"/>
    <n v="1940"/>
    <x v="2"/>
    <n v="388"/>
    <n v="2716"/>
    <n v="380.24"/>
    <x v="3"/>
    <n v="2335.7600000000002"/>
    <n v="395.76000000000022"/>
    <x v="0"/>
    <n v="0.20400000000000013"/>
    <n v="1940"/>
    <n v="0"/>
    <n v="5"/>
  </r>
  <r>
    <x v="9"/>
    <x v="0"/>
    <x v="2"/>
    <x v="4"/>
    <x v="0"/>
    <n v="10"/>
    <n v="182000"/>
    <x v="4"/>
    <n v="700"/>
    <n v="245000"/>
    <n v="34300"/>
    <x v="3"/>
    <n v="210700"/>
    <n v="28700"/>
    <x v="1"/>
    <n v="0.15769230769230769"/>
    <n v="7000"/>
    <n v="175000"/>
    <n v="10"/>
  </r>
  <r>
    <x v="7"/>
    <x v="5"/>
    <x v="2"/>
    <x v="4"/>
    <x v="0"/>
    <n v="250"/>
    <n v="8655"/>
    <x v="3"/>
    <n v="865.5"/>
    <n v="17310"/>
    <n v="2596.5"/>
    <x v="3"/>
    <n v="14713.5"/>
    <n v="6058.5"/>
    <x v="0"/>
    <n v="0.7"/>
    <n v="216375"/>
    <n v="-207720"/>
    <n v="10"/>
  </r>
  <r>
    <x v="1"/>
    <x v="0"/>
    <x v="2"/>
    <x v="4"/>
    <x v="0"/>
    <n v="10"/>
    <n v="3615"/>
    <x v="2"/>
    <n v="723"/>
    <n v="5061"/>
    <n v="759.15"/>
    <x v="3"/>
    <n v="4301.8500000000004"/>
    <n v="686.85000000000036"/>
    <x v="1"/>
    <n v="0.19000000000000011"/>
    <n v="7230"/>
    <n v="-3615"/>
    <n v="5"/>
  </r>
  <r>
    <x v="14"/>
    <x v="3"/>
    <x v="3"/>
    <x v="0"/>
    <x v="0"/>
    <n v="5"/>
    <n v="6150"/>
    <x v="5"/>
    <n v="615"/>
    <n v="9225"/>
    <n v="0"/>
    <x v="0"/>
    <n v="9225"/>
    <n v="3075"/>
    <x v="0"/>
    <n v="0.5"/>
    <n v="3075"/>
    <n v="3075"/>
    <n v="5"/>
  </r>
  <r>
    <x v="14"/>
    <x v="1"/>
    <x v="3"/>
    <x v="0"/>
    <x v="0"/>
    <n v="260"/>
    <n v="6150"/>
    <x v="5"/>
    <n v="615"/>
    <n v="9225"/>
    <n v="0"/>
    <x v="0"/>
    <n v="9225"/>
    <n v="3075"/>
    <x v="0"/>
    <n v="0.5"/>
    <n v="159900"/>
    <n v="-153750"/>
    <n v="10"/>
  </r>
  <r>
    <x v="3"/>
    <x v="0"/>
    <x v="3"/>
    <x v="0"/>
    <x v="0"/>
    <n v="10"/>
    <n v="15140"/>
    <x v="5"/>
    <n v="1514"/>
    <n v="22710"/>
    <n v="227.1"/>
    <x v="1"/>
    <n v="22482.9"/>
    <n v="7342.9000000000015"/>
    <x v="0"/>
    <n v="0.4850000000000001"/>
    <n v="15140"/>
    <n v="0"/>
    <n v="10"/>
  </r>
  <r>
    <x v="12"/>
    <x v="0"/>
    <x v="3"/>
    <x v="0"/>
    <x v="0"/>
    <n v="10"/>
    <n v="19250"/>
    <x v="5"/>
    <n v="1925"/>
    <n v="28875"/>
    <n v="577.5"/>
    <x v="1"/>
    <n v="28297.5"/>
    <n v="9047.5"/>
    <x v="0"/>
    <n v="0.47"/>
    <n v="19250"/>
    <n v="0"/>
    <n v="10"/>
  </r>
  <r>
    <x v="11"/>
    <x v="0"/>
    <x v="3"/>
    <x v="0"/>
    <x v="0"/>
    <n v="10"/>
    <n v="6710"/>
    <x v="5"/>
    <n v="671"/>
    <n v="10065"/>
    <n v="402.6"/>
    <x v="1"/>
    <n v="9662.4"/>
    <n v="2952.3999999999996"/>
    <x v="0"/>
    <n v="0.43999999999999995"/>
    <n v="6710"/>
    <n v="0"/>
    <n v="10"/>
  </r>
  <r>
    <x v="11"/>
    <x v="1"/>
    <x v="3"/>
    <x v="0"/>
    <x v="0"/>
    <n v="260"/>
    <n v="6710"/>
    <x v="5"/>
    <n v="671"/>
    <n v="10065"/>
    <n v="402.6"/>
    <x v="1"/>
    <n v="9662.4"/>
    <n v="2952.3999999999996"/>
    <x v="0"/>
    <n v="0.43999999999999995"/>
    <n v="174460"/>
    <n v="-167750"/>
    <n v="10"/>
  </r>
  <r>
    <x v="10"/>
    <x v="4"/>
    <x v="3"/>
    <x v="0"/>
    <x v="0"/>
    <n v="120"/>
    <n v="5550"/>
    <x v="5"/>
    <n v="555"/>
    <n v="8325"/>
    <n v="416.25"/>
    <x v="2"/>
    <n v="7908.75"/>
    <n v="2358.75"/>
    <x v="0"/>
    <n v="0.42499999999999999"/>
    <n v="66600"/>
    <n v="-61050"/>
    <n v="10"/>
  </r>
  <r>
    <x v="9"/>
    <x v="2"/>
    <x v="3"/>
    <x v="0"/>
    <x v="0"/>
    <n v="3"/>
    <n v="20300"/>
    <x v="5"/>
    <n v="2030"/>
    <n v="30450"/>
    <n v="1827"/>
    <x v="2"/>
    <n v="28623"/>
    <n v="8323"/>
    <x v="0"/>
    <n v="0.41"/>
    <n v="6090"/>
    <n v="14210"/>
    <n v="3"/>
  </r>
  <r>
    <x v="2"/>
    <x v="0"/>
    <x v="3"/>
    <x v="0"/>
    <x v="0"/>
    <n v="10"/>
    <n v="21980"/>
    <x v="5"/>
    <n v="2198"/>
    <n v="32970"/>
    <n v="1978.2"/>
    <x v="2"/>
    <n v="30991.8"/>
    <n v="9011.7999999999993"/>
    <x v="0"/>
    <n v="0.41"/>
    <n v="21980"/>
    <n v="0"/>
    <n v="10"/>
  </r>
  <r>
    <x v="13"/>
    <x v="0"/>
    <x v="3"/>
    <x v="0"/>
    <x v="0"/>
    <n v="10"/>
    <n v="11530"/>
    <x v="5"/>
    <n v="1153"/>
    <n v="17295"/>
    <n v="1037.7"/>
    <x v="2"/>
    <n v="16257.3"/>
    <n v="4727.2999999999993"/>
    <x v="0"/>
    <n v="0.40999999999999992"/>
    <n v="11530"/>
    <n v="0"/>
    <n v="10"/>
  </r>
  <r>
    <x v="13"/>
    <x v="5"/>
    <x v="3"/>
    <x v="0"/>
    <x v="0"/>
    <n v="250"/>
    <n v="11530"/>
    <x v="5"/>
    <n v="1153"/>
    <n v="17295"/>
    <n v="1037.7"/>
    <x v="2"/>
    <n v="16257.3"/>
    <n v="4727.2999999999993"/>
    <x v="0"/>
    <n v="0.40999999999999992"/>
    <n v="288250"/>
    <n v="-276720"/>
    <n v="10"/>
  </r>
  <r>
    <x v="4"/>
    <x v="0"/>
    <x v="3"/>
    <x v="0"/>
    <x v="0"/>
    <n v="10"/>
    <n v="29310"/>
    <x v="5"/>
    <n v="2931"/>
    <n v="43965"/>
    <n v="3077.55"/>
    <x v="2"/>
    <n v="40887.449999999997"/>
    <n v="11577.449999999997"/>
    <x v="0"/>
    <n v="0.39499999999999991"/>
    <n v="29310"/>
    <n v="0"/>
    <n v="10"/>
  </r>
  <r>
    <x v="1"/>
    <x v="0"/>
    <x v="3"/>
    <x v="0"/>
    <x v="0"/>
    <n v="10"/>
    <n v="36750"/>
    <x v="5"/>
    <n v="3675"/>
    <n v="55125"/>
    <n v="4961.25"/>
    <x v="2"/>
    <n v="50163.75"/>
    <n v="13413.75"/>
    <x v="0"/>
    <n v="0.36499999999999999"/>
    <n v="36750"/>
    <n v="0"/>
    <n v="10"/>
  </r>
  <r>
    <x v="15"/>
    <x v="4"/>
    <x v="3"/>
    <x v="0"/>
    <x v="0"/>
    <n v="120"/>
    <n v="7900"/>
    <x v="5"/>
    <n v="790"/>
    <n v="11850"/>
    <n v="1185"/>
    <x v="3"/>
    <n v="10665"/>
    <n v="2765"/>
    <x v="0"/>
    <n v="0.35"/>
    <n v="94800"/>
    <n v="-86900"/>
    <n v="10"/>
  </r>
  <r>
    <x v="7"/>
    <x v="1"/>
    <x v="3"/>
    <x v="0"/>
    <x v="0"/>
    <n v="260"/>
    <n v="31995"/>
    <x v="5"/>
    <n v="3199.5"/>
    <n v="47992.5"/>
    <n v="5279.18"/>
    <x v="3"/>
    <n v="42713.33"/>
    <n v="10718.330000000002"/>
    <x v="0"/>
    <n v="0.33500015627441793"/>
    <n v="831870"/>
    <n v="-799875"/>
    <n v="10"/>
  </r>
  <r>
    <x v="8"/>
    <x v="3"/>
    <x v="3"/>
    <x v="0"/>
    <x v="0"/>
    <n v="5"/>
    <n v="6770"/>
    <x v="5"/>
    <n v="677"/>
    <n v="10155"/>
    <n v="1218.5999999999999"/>
    <x v="3"/>
    <n v="8936.4"/>
    <n v="2166.3999999999996"/>
    <x v="0"/>
    <n v="0.31999999999999995"/>
    <n v="3385"/>
    <n v="3385"/>
    <n v="5"/>
  </r>
  <r>
    <x v="0"/>
    <x v="1"/>
    <x v="3"/>
    <x v="0"/>
    <x v="0"/>
    <n v="260"/>
    <n v="25480"/>
    <x v="5"/>
    <n v="2548"/>
    <n v="38220"/>
    <n v="4586.3999999999996"/>
    <x v="3"/>
    <n v="33633.599999999999"/>
    <n v="8153.5999999999985"/>
    <x v="0"/>
    <n v="0.31999999999999995"/>
    <n v="662480"/>
    <n v="-637000"/>
    <n v="10"/>
  </r>
  <r>
    <x v="5"/>
    <x v="2"/>
    <x v="3"/>
    <x v="0"/>
    <x v="0"/>
    <n v="3"/>
    <n v="25670"/>
    <x v="5"/>
    <n v="2567"/>
    <n v="38505"/>
    <n v="5005.6499999999996"/>
    <x v="3"/>
    <n v="33499.35"/>
    <n v="7829.3499999999985"/>
    <x v="0"/>
    <n v="0.30499999999999994"/>
    <n v="7701"/>
    <n v="17969"/>
    <n v="3"/>
  </r>
  <r>
    <x v="5"/>
    <x v="5"/>
    <x v="3"/>
    <x v="0"/>
    <x v="0"/>
    <n v="250"/>
    <n v="25670"/>
    <x v="5"/>
    <n v="2567"/>
    <n v="38505"/>
    <n v="5005.6499999999996"/>
    <x v="3"/>
    <n v="33499.35"/>
    <n v="7829.3499999999985"/>
    <x v="0"/>
    <n v="0.30499999999999994"/>
    <n v="641750"/>
    <n v="-616080"/>
    <n v="10"/>
  </r>
  <r>
    <x v="6"/>
    <x v="0"/>
    <x v="3"/>
    <x v="0"/>
    <x v="0"/>
    <n v="10"/>
    <n v="17670"/>
    <x v="5"/>
    <n v="1767"/>
    <n v="26505"/>
    <n v="3710.7"/>
    <x v="3"/>
    <n v="22794.3"/>
    <n v="5124.2999999999993"/>
    <x v="0"/>
    <n v="0.28999999999999998"/>
    <n v="17670"/>
    <n v="0"/>
    <n v="10"/>
  </r>
  <r>
    <x v="5"/>
    <x v="2"/>
    <x v="3"/>
    <x v="1"/>
    <x v="0"/>
    <n v="3"/>
    <n v="24700"/>
    <x v="5"/>
    <n v="2470"/>
    <n v="37050"/>
    <n v="0"/>
    <x v="0"/>
    <n v="37050"/>
    <n v="12350"/>
    <x v="0"/>
    <n v="0.5"/>
    <n v="7410"/>
    <n v="17290"/>
    <n v="3"/>
  </r>
  <r>
    <x v="5"/>
    <x v="3"/>
    <x v="3"/>
    <x v="1"/>
    <x v="0"/>
    <n v="5"/>
    <n v="24700"/>
    <x v="5"/>
    <n v="2470"/>
    <n v="37050"/>
    <n v="0"/>
    <x v="0"/>
    <n v="37050"/>
    <n v="12350"/>
    <x v="0"/>
    <n v="0.5"/>
    <n v="12350"/>
    <n v="12350"/>
    <n v="5"/>
  </r>
  <r>
    <x v="3"/>
    <x v="0"/>
    <x v="3"/>
    <x v="1"/>
    <x v="0"/>
    <n v="10"/>
    <n v="9740"/>
    <x v="5"/>
    <n v="974"/>
    <n v="14610"/>
    <n v="0"/>
    <x v="0"/>
    <n v="14610"/>
    <n v="4870"/>
    <x v="0"/>
    <n v="0.5"/>
    <n v="9740"/>
    <n v="0"/>
    <n v="10"/>
  </r>
  <r>
    <x v="6"/>
    <x v="0"/>
    <x v="3"/>
    <x v="1"/>
    <x v="0"/>
    <n v="10"/>
    <n v="24720"/>
    <x v="5"/>
    <n v="2472"/>
    <n v="37080"/>
    <n v="0"/>
    <x v="0"/>
    <n v="37080"/>
    <n v="12360"/>
    <x v="0"/>
    <n v="0.5"/>
    <n v="24720"/>
    <n v="0"/>
    <n v="10"/>
  </r>
  <r>
    <x v="8"/>
    <x v="3"/>
    <x v="3"/>
    <x v="1"/>
    <x v="0"/>
    <n v="5"/>
    <n v="22140"/>
    <x v="5"/>
    <n v="2214"/>
    <n v="33210"/>
    <n v="332.1"/>
    <x v="1"/>
    <n v="32877.9"/>
    <n v="10737.900000000001"/>
    <x v="0"/>
    <n v="0.48500000000000004"/>
    <n v="11070"/>
    <n v="11070"/>
    <n v="5"/>
  </r>
  <r>
    <x v="13"/>
    <x v="3"/>
    <x v="3"/>
    <x v="1"/>
    <x v="0"/>
    <n v="5"/>
    <n v="20310"/>
    <x v="5"/>
    <n v="2031"/>
    <n v="30465"/>
    <n v="1218.5999999999999"/>
    <x v="1"/>
    <n v="29246.400000000001"/>
    <n v="8936.4000000000015"/>
    <x v="0"/>
    <n v="0.44000000000000006"/>
    <n v="10155"/>
    <n v="10155"/>
    <n v="5"/>
  </r>
  <r>
    <x v="13"/>
    <x v="0"/>
    <x v="3"/>
    <x v="1"/>
    <x v="0"/>
    <n v="10"/>
    <n v="20310"/>
    <x v="5"/>
    <n v="2031"/>
    <n v="30465"/>
    <n v="1218.5999999999999"/>
    <x v="1"/>
    <n v="29246.400000000001"/>
    <n v="8936.4000000000015"/>
    <x v="0"/>
    <n v="0.44000000000000006"/>
    <n v="20310"/>
    <n v="0"/>
    <n v="10"/>
  </r>
  <r>
    <x v="11"/>
    <x v="0"/>
    <x v="3"/>
    <x v="1"/>
    <x v="0"/>
    <n v="10"/>
    <n v="15140"/>
    <x v="5"/>
    <n v="1514"/>
    <n v="22710"/>
    <n v="908.4"/>
    <x v="1"/>
    <n v="21801.599999999999"/>
    <n v="6661.5999999999985"/>
    <x v="0"/>
    <n v="0.43999999999999989"/>
    <n v="15140"/>
    <n v="0"/>
    <n v="10"/>
  </r>
  <r>
    <x v="11"/>
    <x v="5"/>
    <x v="3"/>
    <x v="1"/>
    <x v="0"/>
    <n v="250"/>
    <n v="15140"/>
    <x v="5"/>
    <n v="1514"/>
    <n v="22710"/>
    <n v="908.4"/>
    <x v="1"/>
    <n v="21801.599999999999"/>
    <n v="6661.5999999999985"/>
    <x v="0"/>
    <n v="0.43999999999999989"/>
    <n v="378500"/>
    <n v="-363360"/>
    <n v="10"/>
  </r>
  <r>
    <x v="9"/>
    <x v="2"/>
    <x v="3"/>
    <x v="1"/>
    <x v="0"/>
    <n v="3"/>
    <n v="27910"/>
    <x v="5"/>
    <n v="2791"/>
    <n v="41865"/>
    <n v="2093.25"/>
    <x v="2"/>
    <n v="39771.75"/>
    <n v="11861.75"/>
    <x v="0"/>
    <n v="0.42499999999999999"/>
    <n v="8373"/>
    <n v="19537"/>
    <n v="3"/>
  </r>
  <r>
    <x v="10"/>
    <x v="4"/>
    <x v="3"/>
    <x v="1"/>
    <x v="0"/>
    <n v="120"/>
    <n v="28610"/>
    <x v="5"/>
    <n v="2861"/>
    <n v="42915"/>
    <n v="2145.75"/>
    <x v="2"/>
    <n v="40769.25"/>
    <n v="12159.25"/>
    <x v="0"/>
    <n v="0.42499999999999999"/>
    <n v="343320"/>
    <n v="-314710"/>
    <n v="10"/>
  </r>
  <r>
    <x v="15"/>
    <x v="4"/>
    <x v="3"/>
    <x v="1"/>
    <x v="0"/>
    <n v="120"/>
    <n v="2450"/>
    <x v="5"/>
    <n v="245"/>
    <n v="3675"/>
    <n v="330.75"/>
    <x v="2"/>
    <n v="3344.25"/>
    <n v="894.25"/>
    <x v="0"/>
    <n v="0.36499999999999999"/>
    <n v="29400"/>
    <n v="-26950"/>
    <n v="10"/>
  </r>
  <r>
    <x v="1"/>
    <x v="4"/>
    <x v="3"/>
    <x v="1"/>
    <x v="0"/>
    <n v="120"/>
    <n v="26280"/>
    <x v="5"/>
    <n v="2628"/>
    <n v="39420"/>
    <n v="3547.8"/>
    <x v="2"/>
    <n v="35872.199999999997"/>
    <n v="9592.1999999999971"/>
    <x v="0"/>
    <n v="0.36499999999999988"/>
    <n v="315360"/>
    <n v="-289080"/>
    <n v="10"/>
  </r>
  <r>
    <x v="7"/>
    <x v="5"/>
    <x v="3"/>
    <x v="1"/>
    <x v="0"/>
    <n v="250"/>
    <n v="6410"/>
    <x v="5"/>
    <n v="641"/>
    <n v="9615"/>
    <n v="961.5"/>
    <x v="3"/>
    <n v="8653.5"/>
    <n v="2243.5"/>
    <x v="0"/>
    <n v="0.35"/>
    <n v="160250"/>
    <n v="-153840"/>
    <n v="10"/>
  </r>
  <r>
    <x v="14"/>
    <x v="3"/>
    <x v="3"/>
    <x v="1"/>
    <x v="0"/>
    <n v="5"/>
    <n v="21570"/>
    <x v="5"/>
    <n v="2157"/>
    <n v="32355"/>
    <n v="3559.05"/>
    <x v="3"/>
    <n v="28795.95"/>
    <n v="7225.9500000000007"/>
    <x v="0"/>
    <n v="0.33500000000000002"/>
    <n v="10785"/>
    <n v="10785"/>
    <n v="5"/>
  </r>
  <r>
    <x v="2"/>
    <x v="0"/>
    <x v="3"/>
    <x v="1"/>
    <x v="0"/>
    <n v="10"/>
    <n v="19840"/>
    <x v="5"/>
    <n v="1984"/>
    <n v="29760"/>
    <n v="3273.6"/>
    <x v="3"/>
    <n v="26486.400000000001"/>
    <n v="6646.4000000000015"/>
    <x v="0"/>
    <n v="0.33500000000000008"/>
    <n v="19840"/>
    <n v="0"/>
    <n v="10"/>
  </r>
  <r>
    <x v="4"/>
    <x v="4"/>
    <x v="3"/>
    <x v="1"/>
    <x v="0"/>
    <n v="120"/>
    <n v="6550"/>
    <x v="5"/>
    <n v="655"/>
    <n v="9825"/>
    <n v="1080.75"/>
    <x v="3"/>
    <n v="8744.25"/>
    <n v="2194.25"/>
    <x v="0"/>
    <n v="0.33500000000000002"/>
    <n v="78600"/>
    <n v="-72050"/>
    <n v="10"/>
  </r>
  <r>
    <x v="14"/>
    <x v="1"/>
    <x v="3"/>
    <x v="1"/>
    <x v="0"/>
    <n v="260"/>
    <n v="21570"/>
    <x v="5"/>
    <n v="2157"/>
    <n v="32355"/>
    <n v="3559.05"/>
    <x v="3"/>
    <n v="28795.95"/>
    <n v="7225.9500000000007"/>
    <x v="0"/>
    <n v="0.33500000000000002"/>
    <n v="560820"/>
    <n v="-539250"/>
    <n v="10"/>
  </r>
  <r>
    <x v="12"/>
    <x v="0"/>
    <x v="3"/>
    <x v="1"/>
    <x v="0"/>
    <n v="10"/>
    <n v="3800"/>
    <x v="5"/>
    <n v="380"/>
    <n v="5700"/>
    <n v="684"/>
    <x v="3"/>
    <n v="5016"/>
    <n v="1216"/>
    <x v="0"/>
    <n v="0.32"/>
    <n v="3800"/>
    <n v="0"/>
    <n v="10"/>
  </r>
  <r>
    <x v="0"/>
    <x v="1"/>
    <x v="3"/>
    <x v="1"/>
    <x v="0"/>
    <n v="260"/>
    <n v="18700"/>
    <x v="5"/>
    <n v="1870"/>
    <n v="28050"/>
    <n v="3927"/>
    <x v="3"/>
    <n v="24123"/>
    <n v="5423"/>
    <x v="0"/>
    <n v="0.28999999999999998"/>
    <n v="486200"/>
    <n v="-467500"/>
    <n v="10"/>
  </r>
  <r>
    <x v="5"/>
    <x v="2"/>
    <x v="3"/>
    <x v="2"/>
    <x v="1"/>
    <n v="3"/>
    <n v="8880"/>
    <x v="5"/>
    <n v="888"/>
    <n v="13320"/>
    <n v="0"/>
    <x v="0"/>
    <n v="13320"/>
    <n v="4440"/>
    <x v="0"/>
    <n v="0.5"/>
    <n v="2664"/>
    <n v="6216"/>
    <n v="3"/>
  </r>
  <r>
    <x v="8"/>
    <x v="3"/>
    <x v="3"/>
    <x v="2"/>
    <x v="1"/>
    <n v="5"/>
    <n v="9210"/>
    <x v="5"/>
    <n v="921"/>
    <n v="13815"/>
    <n v="0"/>
    <x v="0"/>
    <n v="13815"/>
    <n v="4605"/>
    <x v="0"/>
    <n v="0.5"/>
    <n v="4605"/>
    <n v="4605"/>
    <n v="5"/>
  </r>
  <r>
    <x v="5"/>
    <x v="5"/>
    <x v="3"/>
    <x v="2"/>
    <x v="1"/>
    <n v="250"/>
    <n v="8880"/>
    <x v="5"/>
    <n v="888"/>
    <n v="13320"/>
    <n v="0"/>
    <x v="0"/>
    <n v="13320"/>
    <n v="4440"/>
    <x v="0"/>
    <n v="0.5"/>
    <n v="222000"/>
    <n v="-213120"/>
    <n v="10"/>
  </r>
  <r>
    <x v="6"/>
    <x v="0"/>
    <x v="3"/>
    <x v="2"/>
    <x v="1"/>
    <n v="10"/>
    <n v="7470"/>
    <x v="5"/>
    <n v="747"/>
    <n v="11205"/>
    <n v="112.05"/>
    <x v="1"/>
    <n v="11092.95"/>
    <n v="3622.9500000000007"/>
    <x v="0"/>
    <n v="0.4850000000000001"/>
    <n v="7470"/>
    <n v="0"/>
    <n v="10"/>
  </r>
  <r>
    <x v="11"/>
    <x v="0"/>
    <x v="3"/>
    <x v="2"/>
    <x v="1"/>
    <n v="10"/>
    <n v="19450"/>
    <x v="5"/>
    <n v="1945"/>
    <n v="29175"/>
    <n v="875.25"/>
    <x v="1"/>
    <n v="28299.75"/>
    <n v="8849.75"/>
    <x v="0"/>
    <n v="0.45500000000000002"/>
    <n v="19450"/>
    <n v="0"/>
    <n v="10"/>
  </r>
  <r>
    <x v="11"/>
    <x v="5"/>
    <x v="3"/>
    <x v="2"/>
    <x v="1"/>
    <n v="250"/>
    <n v="19450"/>
    <x v="5"/>
    <n v="1945"/>
    <n v="29175"/>
    <n v="875.25"/>
    <x v="1"/>
    <n v="28299.75"/>
    <n v="8849.75"/>
    <x v="0"/>
    <n v="0.45500000000000002"/>
    <n v="486250"/>
    <n v="-466800"/>
    <n v="10"/>
  </r>
  <r>
    <x v="12"/>
    <x v="0"/>
    <x v="3"/>
    <x v="2"/>
    <x v="1"/>
    <n v="10"/>
    <n v="21160"/>
    <x v="5"/>
    <n v="2116"/>
    <n v="31740"/>
    <n v="1587"/>
    <x v="2"/>
    <n v="30153"/>
    <n v="8993"/>
    <x v="0"/>
    <n v="0.42499999999999999"/>
    <n v="21160"/>
    <n v="0"/>
    <n v="10"/>
  </r>
  <r>
    <x v="15"/>
    <x v="4"/>
    <x v="3"/>
    <x v="2"/>
    <x v="1"/>
    <n v="120"/>
    <n v="15300"/>
    <x v="5"/>
    <n v="1530"/>
    <n v="22950"/>
    <n v="1377"/>
    <x v="2"/>
    <n v="21573"/>
    <n v="6273"/>
    <x v="0"/>
    <n v="0.41"/>
    <n v="183600"/>
    <n v="-168300"/>
    <n v="10"/>
  </r>
  <r>
    <x v="2"/>
    <x v="0"/>
    <x v="3"/>
    <x v="2"/>
    <x v="1"/>
    <n v="10"/>
    <n v="17430"/>
    <x v="5"/>
    <n v="1743"/>
    <n v="26145"/>
    <n v="1568.7"/>
    <x v="2"/>
    <n v="24576.3"/>
    <n v="7146.2999999999993"/>
    <x v="0"/>
    <n v="0.41"/>
    <n v="17430"/>
    <n v="0"/>
    <n v="10"/>
  </r>
  <r>
    <x v="14"/>
    <x v="3"/>
    <x v="3"/>
    <x v="2"/>
    <x v="1"/>
    <n v="5"/>
    <n v="7110"/>
    <x v="5"/>
    <n v="711"/>
    <n v="10665"/>
    <n v="853.2"/>
    <x v="2"/>
    <n v="9811.7999999999993"/>
    <n v="2701.7999999999993"/>
    <x v="0"/>
    <n v="0.37999999999999989"/>
    <n v="3555"/>
    <n v="3555"/>
    <n v="5"/>
  </r>
  <r>
    <x v="14"/>
    <x v="1"/>
    <x v="3"/>
    <x v="2"/>
    <x v="1"/>
    <n v="260"/>
    <n v="7110"/>
    <x v="5"/>
    <n v="711"/>
    <n v="10665"/>
    <n v="853.2"/>
    <x v="2"/>
    <n v="9811.7999999999993"/>
    <n v="2701.7999999999993"/>
    <x v="0"/>
    <n v="0.37999999999999989"/>
    <n v="184860"/>
    <n v="-177750"/>
    <n v="10"/>
  </r>
  <r>
    <x v="0"/>
    <x v="1"/>
    <x v="3"/>
    <x v="2"/>
    <x v="1"/>
    <n v="260"/>
    <n v="9700"/>
    <x v="5"/>
    <n v="970"/>
    <n v="14550"/>
    <n v="1309.5"/>
    <x v="2"/>
    <n v="13240.5"/>
    <n v="3540.5"/>
    <x v="0"/>
    <n v="0.36499999999999999"/>
    <n v="252200"/>
    <n v="-242500"/>
    <n v="10"/>
  </r>
  <r>
    <x v="10"/>
    <x v="4"/>
    <x v="3"/>
    <x v="2"/>
    <x v="1"/>
    <n v="120"/>
    <n v="6810"/>
    <x v="5"/>
    <n v="681"/>
    <n v="10215"/>
    <n v="1021.5"/>
    <x v="3"/>
    <n v="9193.5"/>
    <n v="2383.5"/>
    <x v="0"/>
    <n v="0.35"/>
    <n v="81720"/>
    <n v="-74910"/>
    <n v="10"/>
  </r>
  <r>
    <x v="1"/>
    <x v="4"/>
    <x v="3"/>
    <x v="2"/>
    <x v="1"/>
    <n v="120"/>
    <n v="5100"/>
    <x v="5"/>
    <n v="510"/>
    <n v="7650"/>
    <n v="765"/>
    <x v="3"/>
    <n v="6885"/>
    <n v="1785"/>
    <x v="0"/>
    <n v="0.35"/>
    <n v="61200"/>
    <n v="-56100"/>
    <n v="10"/>
  </r>
  <r>
    <x v="4"/>
    <x v="4"/>
    <x v="3"/>
    <x v="2"/>
    <x v="1"/>
    <n v="120"/>
    <n v="6600"/>
    <x v="5"/>
    <n v="660"/>
    <n v="9900"/>
    <n v="1287"/>
    <x v="3"/>
    <n v="8613"/>
    <n v="2013"/>
    <x v="0"/>
    <n v="0.30499999999999999"/>
    <n v="79200"/>
    <n v="-72600"/>
    <n v="10"/>
  </r>
  <r>
    <x v="3"/>
    <x v="0"/>
    <x v="3"/>
    <x v="2"/>
    <x v="1"/>
    <n v="10"/>
    <n v="2780"/>
    <x v="5"/>
    <n v="278"/>
    <n v="4170"/>
    <n v="583.79999999999995"/>
    <x v="3"/>
    <n v="3586.2"/>
    <n v="806.19999999999982"/>
    <x v="0"/>
    <n v="0.28999999999999992"/>
    <n v="2780"/>
    <n v="0"/>
    <n v="10"/>
  </r>
  <r>
    <x v="9"/>
    <x v="2"/>
    <x v="3"/>
    <x v="2"/>
    <x v="1"/>
    <n v="3"/>
    <n v="15130"/>
    <x v="5"/>
    <n v="1513"/>
    <n v="22695"/>
    <n v="3177.3"/>
    <x v="3"/>
    <n v="19517.7"/>
    <n v="4387.7000000000007"/>
    <x v="0"/>
    <n v="0.29000000000000004"/>
    <n v="4539"/>
    <n v="10591"/>
    <n v="3"/>
  </r>
  <r>
    <x v="13"/>
    <x v="0"/>
    <x v="3"/>
    <x v="2"/>
    <x v="1"/>
    <n v="10"/>
    <n v="11750"/>
    <x v="5"/>
    <n v="1175"/>
    <n v="17625"/>
    <n v="2643.75"/>
    <x v="3"/>
    <n v="14981.25"/>
    <n v="3231.25"/>
    <x v="0"/>
    <n v="0.27500000000000002"/>
    <n v="11750"/>
    <n v="0"/>
    <n v="10"/>
  </r>
  <r>
    <x v="7"/>
    <x v="5"/>
    <x v="3"/>
    <x v="2"/>
    <x v="1"/>
    <n v="250"/>
    <n v="4920"/>
    <x v="5"/>
    <n v="492"/>
    <n v="7380"/>
    <n v="1107"/>
    <x v="3"/>
    <n v="6273"/>
    <n v="1353"/>
    <x v="0"/>
    <n v="0.27500000000000002"/>
    <n v="123000"/>
    <n v="-118080"/>
    <n v="10"/>
  </r>
  <r>
    <x v="13"/>
    <x v="5"/>
    <x v="3"/>
    <x v="2"/>
    <x v="1"/>
    <n v="250"/>
    <n v="11750"/>
    <x v="5"/>
    <n v="1175"/>
    <n v="17625"/>
    <n v="2643.75"/>
    <x v="3"/>
    <n v="14981.25"/>
    <n v="3231.25"/>
    <x v="0"/>
    <n v="0.27500000000000002"/>
    <n v="293750"/>
    <n v="-282000"/>
    <n v="10"/>
  </r>
  <r>
    <x v="5"/>
    <x v="2"/>
    <x v="3"/>
    <x v="3"/>
    <x v="1"/>
    <n v="3"/>
    <n v="21780"/>
    <x v="5"/>
    <n v="2178"/>
    <n v="32670"/>
    <n v="0"/>
    <x v="0"/>
    <n v="32670"/>
    <n v="10890"/>
    <x v="0"/>
    <n v="0.5"/>
    <n v="6534"/>
    <n v="15246"/>
    <n v="3"/>
  </r>
  <r>
    <x v="4"/>
    <x v="0"/>
    <x v="3"/>
    <x v="3"/>
    <x v="1"/>
    <n v="10"/>
    <n v="5490"/>
    <x v="5"/>
    <n v="549"/>
    <n v="8235"/>
    <n v="0"/>
    <x v="0"/>
    <n v="8235"/>
    <n v="2745"/>
    <x v="0"/>
    <n v="0.5"/>
    <n v="5490"/>
    <n v="0"/>
    <n v="10"/>
  </r>
  <r>
    <x v="5"/>
    <x v="5"/>
    <x v="3"/>
    <x v="3"/>
    <x v="1"/>
    <n v="250"/>
    <n v="21780"/>
    <x v="5"/>
    <n v="2178"/>
    <n v="32670"/>
    <n v="0"/>
    <x v="0"/>
    <n v="32670"/>
    <n v="10890"/>
    <x v="0"/>
    <n v="0.5"/>
    <n v="544500"/>
    <n v="-522720"/>
    <n v="10"/>
  </r>
  <r>
    <x v="3"/>
    <x v="0"/>
    <x v="3"/>
    <x v="3"/>
    <x v="1"/>
    <n v="10"/>
    <n v="22960"/>
    <x v="5"/>
    <n v="2296"/>
    <n v="34440"/>
    <n v="344.4"/>
    <x v="1"/>
    <n v="34095.599999999999"/>
    <n v="11135.599999999999"/>
    <x v="0"/>
    <n v="0.48499999999999993"/>
    <n v="22960"/>
    <n v="0"/>
    <n v="10"/>
  </r>
  <r>
    <x v="0"/>
    <x v="1"/>
    <x v="3"/>
    <x v="3"/>
    <x v="1"/>
    <n v="260"/>
    <n v="3210"/>
    <x v="5"/>
    <n v="321"/>
    <n v="4815"/>
    <n v="48.15"/>
    <x v="1"/>
    <n v="4766.8500000000004"/>
    <n v="1556.8500000000004"/>
    <x v="0"/>
    <n v="0.4850000000000001"/>
    <n v="83460"/>
    <n v="-80250"/>
    <n v="10"/>
  </r>
  <r>
    <x v="12"/>
    <x v="0"/>
    <x v="3"/>
    <x v="3"/>
    <x v="1"/>
    <n v="10"/>
    <n v="22610"/>
    <x v="5"/>
    <n v="2261"/>
    <n v="33915"/>
    <n v="1356.6"/>
    <x v="1"/>
    <n v="32558.400000000001"/>
    <n v="9948.4000000000015"/>
    <x v="0"/>
    <n v="0.44000000000000006"/>
    <n v="22610"/>
    <n v="0"/>
    <n v="10"/>
  </r>
  <r>
    <x v="6"/>
    <x v="0"/>
    <x v="3"/>
    <x v="3"/>
    <x v="1"/>
    <n v="10"/>
    <n v="26200"/>
    <x v="5"/>
    <n v="2620"/>
    <n v="39300"/>
    <n v="1965"/>
    <x v="2"/>
    <n v="37335"/>
    <n v="11135"/>
    <x v="0"/>
    <n v="0.42499999999999999"/>
    <n v="26200"/>
    <n v="0"/>
    <n v="10"/>
  </r>
  <r>
    <x v="1"/>
    <x v="0"/>
    <x v="3"/>
    <x v="3"/>
    <x v="1"/>
    <n v="10"/>
    <n v="38010"/>
    <x v="5"/>
    <n v="3801"/>
    <n v="57015"/>
    <n v="3420.9"/>
    <x v="2"/>
    <n v="53594.1"/>
    <n v="15584.099999999999"/>
    <x v="0"/>
    <n v="0.41"/>
    <n v="38010"/>
    <n v="0"/>
    <n v="10"/>
  </r>
  <r>
    <x v="2"/>
    <x v="0"/>
    <x v="3"/>
    <x v="3"/>
    <x v="1"/>
    <n v="10"/>
    <n v="21010"/>
    <x v="5"/>
    <n v="2101"/>
    <n v="31515"/>
    <n v="2206.0500000000002"/>
    <x v="2"/>
    <n v="29308.95"/>
    <n v="8298.9500000000007"/>
    <x v="0"/>
    <n v="0.39500000000000002"/>
    <n v="21010"/>
    <n v="0"/>
    <n v="10"/>
  </r>
  <r>
    <x v="9"/>
    <x v="2"/>
    <x v="3"/>
    <x v="3"/>
    <x v="1"/>
    <n v="3"/>
    <n v="4900"/>
    <x v="5"/>
    <n v="490"/>
    <n v="7350"/>
    <n v="588"/>
    <x v="2"/>
    <n v="6762"/>
    <n v="1862"/>
    <x v="0"/>
    <n v="0.38"/>
    <n v="1470"/>
    <n v="3430"/>
    <n v="3"/>
  </r>
  <r>
    <x v="8"/>
    <x v="3"/>
    <x v="3"/>
    <x v="3"/>
    <x v="1"/>
    <n v="5"/>
    <n v="25010"/>
    <x v="5"/>
    <n v="2501"/>
    <n v="37515"/>
    <n v="3001.2"/>
    <x v="2"/>
    <n v="34513.800000000003"/>
    <n v="9503.8000000000029"/>
    <x v="0"/>
    <n v="0.38000000000000012"/>
    <n v="12505"/>
    <n v="12505"/>
    <n v="5"/>
  </r>
  <r>
    <x v="13"/>
    <x v="0"/>
    <x v="3"/>
    <x v="3"/>
    <x v="1"/>
    <n v="10"/>
    <n v="12270"/>
    <x v="5"/>
    <n v="1227"/>
    <n v="18405"/>
    <n v="1656.45"/>
    <x v="2"/>
    <n v="16748.55"/>
    <n v="4478.5499999999993"/>
    <x v="0"/>
    <n v="0.36499999999999994"/>
    <n v="12270"/>
    <n v="0"/>
    <n v="10"/>
  </r>
  <r>
    <x v="13"/>
    <x v="5"/>
    <x v="3"/>
    <x v="3"/>
    <x v="1"/>
    <n v="250"/>
    <n v="12270"/>
    <x v="5"/>
    <n v="1227"/>
    <n v="18405"/>
    <n v="1656.45"/>
    <x v="2"/>
    <n v="16748.55"/>
    <n v="4478.5499999999993"/>
    <x v="0"/>
    <n v="0.36499999999999994"/>
    <n v="306750"/>
    <n v="-294480"/>
    <n v="10"/>
  </r>
  <r>
    <x v="14"/>
    <x v="3"/>
    <x v="3"/>
    <x v="3"/>
    <x v="1"/>
    <n v="5"/>
    <n v="20720"/>
    <x v="5"/>
    <n v="2072"/>
    <n v="31080"/>
    <n v="3108"/>
    <x v="3"/>
    <n v="27972"/>
    <n v="7252"/>
    <x v="0"/>
    <n v="0.35"/>
    <n v="10360"/>
    <n v="10360"/>
    <n v="5"/>
  </r>
  <r>
    <x v="11"/>
    <x v="0"/>
    <x v="3"/>
    <x v="3"/>
    <x v="1"/>
    <n v="10"/>
    <n v="21670"/>
    <x v="5"/>
    <n v="2167"/>
    <n v="32505"/>
    <n v="3250.5"/>
    <x v="3"/>
    <n v="29254.5"/>
    <n v="7584.5"/>
    <x v="0"/>
    <n v="0.35"/>
    <n v="21670"/>
    <n v="0"/>
    <n v="10"/>
  </r>
  <r>
    <x v="11"/>
    <x v="5"/>
    <x v="3"/>
    <x v="3"/>
    <x v="1"/>
    <n v="250"/>
    <n v="21670"/>
    <x v="5"/>
    <n v="2167"/>
    <n v="32505"/>
    <n v="3250.5"/>
    <x v="3"/>
    <n v="29254.5"/>
    <n v="7584.5"/>
    <x v="0"/>
    <n v="0.35"/>
    <n v="541750"/>
    <n v="-520080"/>
    <n v="10"/>
  </r>
  <r>
    <x v="14"/>
    <x v="1"/>
    <x v="3"/>
    <x v="3"/>
    <x v="1"/>
    <n v="260"/>
    <n v="20720"/>
    <x v="5"/>
    <n v="2072"/>
    <n v="31080"/>
    <n v="3108"/>
    <x v="3"/>
    <n v="27972"/>
    <n v="7252"/>
    <x v="0"/>
    <n v="0.35"/>
    <n v="538720"/>
    <n v="-518000"/>
    <n v="10"/>
  </r>
  <r>
    <x v="7"/>
    <x v="5"/>
    <x v="3"/>
    <x v="3"/>
    <x v="1"/>
    <n v="250"/>
    <n v="38745"/>
    <x v="5"/>
    <n v="3874.5"/>
    <n v="58117.5"/>
    <n v="6974.1"/>
    <x v="3"/>
    <n v="51143.4"/>
    <n v="12398.400000000001"/>
    <x v="0"/>
    <n v="0.32000000000000006"/>
    <n v="968625"/>
    <n v="-929880"/>
    <n v="10"/>
  </r>
  <r>
    <x v="10"/>
    <x v="4"/>
    <x v="3"/>
    <x v="3"/>
    <x v="1"/>
    <n v="120"/>
    <n v="39975"/>
    <x v="5"/>
    <n v="3997.5"/>
    <n v="59962.5"/>
    <n v="7795.13"/>
    <x v="3"/>
    <n v="52167.38"/>
    <n v="12192.379999999997"/>
    <x v="0"/>
    <n v="0.30500012507817381"/>
    <n v="479700"/>
    <n v="-439725"/>
    <n v="10"/>
  </r>
  <r>
    <x v="15"/>
    <x v="4"/>
    <x v="3"/>
    <x v="3"/>
    <x v="1"/>
    <n v="120"/>
    <n v="28260"/>
    <x v="5"/>
    <n v="2826"/>
    <n v="42390"/>
    <n v="6358.5"/>
    <x v="3"/>
    <n v="36031.5"/>
    <n v="7771.5"/>
    <x v="0"/>
    <n v="0.27500000000000002"/>
    <n v="339120"/>
    <n v="-310860"/>
    <n v="10"/>
  </r>
  <r>
    <x v="12"/>
    <x v="0"/>
    <x v="3"/>
    <x v="4"/>
    <x v="0"/>
    <n v="10"/>
    <n v="21520"/>
    <x v="5"/>
    <n v="2152"/>
    <n v="32280"/>
    <n v="0"/>
    <x v="0"/>
    <n v="32280"/>
    <n v="10760"/>
    <x v="0"/>
    <n v="0.5"/>
    <n v="21520"/>
    <n v="0"/>
    <n v="10"/>
  </r>
  <r>
    <x v="3"/>
    <x v="0"/>
    <x v="3"/>
    <x v="4"/>
    <x v="0"/>
    <n v="10"/>
    <n v="23630"/>
    <x v="5"/>
    <n v="2363"/>
    <n v="35445"/>
    <n v="708.9"/>
    <x v="1"/>
    <n v="34736.1"/>
    <n v="11106.099999999999"/>
    <x v="0"/>
    <n v="0.46999999999999992"/>
    <n v="23630"/>
    <n v="0"/>
    <n v="10"/>
  </r>
  <r>
    <x v="8"/>
    <x v="3"/>
    <x v="3"/>
    <x v="4"/>
    <x v="0"/>
    <n v="5"/>
    <n v="19670"/>
    <x v="5"/>
    <n v="1967"/>
    <n v="29505"/>
    <n v="1180.2"/>
    <x v="1"/>
    <n v="28324.799999999999"/>
    <n v="8654.7999999999993"/>
    <x v="0"/>
    <n v="0.43999999999999995"/>
    <n v="9835"/>
    <n v="9835"/>
    <n v="5"/>
  </r>
  <r>
    <x v="6"/>
    <x v="0"/>
    <x v="3"/>
    <x v="4"/>
    <x v="0"/>
    <n v="10"/>
    <n v="2180"/>
    <x v="5"/>
    <n v="218"/>
    <n v="3270"/>
    <n v="130.80000000000001"/>
    <x v="1"/>
    <n v="3139.2"/>
    <n v="959.19999999999982"/>
    <x v="0"/>
    <n v="0.43999999999999989"/>
    <n v="2180"/>
    <n v="0"/>
    <n v="10"/>
  </r>
  <r>
    <x v="5"/>
    <x v="2"/>
    <x v="3"/>
    <x v="4"/>
    <x v="0"/>
    <n v="3"/>
    <n v="28440"/>
    <x v="5"/>
    <n v="2844"/>
    <n v="42660"/>
    <n v="2559.6"/>
    <x v="2"/>
    <n v="40100.400000000001"/>
    <n v="11660.400000000001"/>
    <x v="0"/>
    <n v="0.41000000000000003"/>
    <n v="8532"/>
    <n v="19908"/>
    <n v="3"/>
  </r>
  <r>
    <x v="5"/>
    <x v="5"/>
    <x v="3"/>
    <x v="4"/>
    <x v="0"/>
    <n v="250"/>
    <n v="28440"/>
    <x v="5"/>
    <n v="2844"/>
    <n v="42660"/>
    <n v="2559.6"/>
    <x v="2"/>
    <n v="40100.400000000001"/>
    <n v="11660.400000000001"/>
    <x v="0"/>
    <n v="0.41000000000000003"/>
    <n v="711000"/>
    <n v="-682560"/>
    <n v="10"/>
  </r>
  <r>
    <x v="15"/>
    <x v="4"/>
    <x v="3"/>
    <x v="4"/>
    <x v="0"/>
    <n v="120"/>
    <n v="12620"/>
    <x v="5"/>
    <n v="1262"/>
    <n v="18930"/>
    <n v="1325.1"/>
    <x v="2"/>
    <n v="17604.900000000001"/>
    <n v="4984.9000000000015"/>
    <x v="0"/>
    <n v="0.39500000000000013"/>
    <n v="151440"/>
    <n v="-138820"/>
    <n v="10"/>
  </r>
  <r>
    <x v="7"/>
    <x v="1"/>
    <x v="3"/>
    <x v="4"/>
    <x v="0"/>
    <n v="260"/>
    <n v="16305"/>
    <x v="5"/>
    <n v="1630.5"/>
    <n v="24457.5"/>
    <n v="2201.1799999999998"/>
    <x v="2"/>
    <n v="22256.33"/>
    <n v="5951.3300000000017"/>
    <x v="0"/>
    <n v="0.36500030665440059"/>
    <n v="423930"/>
    <n v="-407625"/>
    <n v="10"/>
  </r>
  <r>
    <x v="10"/>
    <x v="4"/>
    <x v="3"/>
    <x v="4"/>
    <x v="0"/>
    <n v="120"/>
    <n v="3840"/>
    <x v="5"/>
    <n v="384"/>
    <n v="5760"/>
    <n v="633.6"/>
    <x v="3"/>
    <n v="5126.3999999999996"/>
    <n v="1286.3999999999996"/>
    <x v="0"/>
    <n v="0.33499999999999991"/>
    <n v="46080"/>
    <n v="-42240"/>
    <n v="10"/>
  </r>
  <r>
    <x v="0"/>
    <x v="2"/>
    <x v="3"/>
    <x v="4"/>
    <x v="0"/>
    <n v="3"/>
    <n v="15600"/>
    <x v="5"/>
    <n v="1560"/>
    <n v="23400"/>
    <n v="2574"/>
    <x v="3"/>
    <n v="20826"/>
    <n v="5226"/>
    <x v="0"/>
    <n v="0.33500000000000002"/>
    <n v="4680"/>
    <n v="10920"/>
    <n v="3"/>
  </r>
  <r>
    <x v="9"/>
    <x v="2"/>
    <x v="3"/>
    <x v="4"/>
    <x v="0"/>
    <n v="3"/>
    <n v="26890"/>
    <x v="5"/>
    <n v="2689"/>
    <n v="40335"/>
    <n v="4840.2"/>
    <x v="3"/>
    <n v="35494.800000000003"/>
    <n v="8604.8000000000029"/>
    <x v="0"/>
    <n v="0.32000000000000012"/>
    <n v="8067"/>
    <n v="18823"/>
    <n v="3"/>
  </r>
  <r>
    <x v="13"/>
    <x v="0"/>
    <x v="3"/>
    <x v="4"/>
    <x v="0"/>
    <n v="10"/>
    <n v="15650"/>
    <x v="5"/>
    <n v="1565"/>
    <n v="23475"/>
    <n v="3051.75"/>
    <x v="3"/>
    <n v="20423.25"/>
    <n v="4773.25"/>
    <x v="0"/>
    <n v="0.30499999999999999"/>
    <n v="15650"/>
    <n v="0"/>
    <n v="10"/>
  </r>
  <r>
    <x v="13"/>
    <x v="5"/>
    <x v="3"/>
    <x v="4"/>
    <x v="0"/>
    <n v="250"/>
    <n v="15650"/>
    <x v="5"/>
    <n v="1565"/>
    <n v="23475"/>
    <n v="3051.75"/>
    <x v="3"/>
    <n v="20423.25"/>
    <n v="4773.25"/>
    <x v="0"/>
    <n v="0.30499999999999999"/>
    <n v="391250"/>
    <n v="-375600"/>
    <n v="10"/>
  </r>
  <r>
    <x v="14"/>
    <x v="2"/>
    <x v="3"/>
    <x v="4"/>
    <x v="0"/>
    <n v="3"/>
    <n v="23000"/>
    <x v="5"/>
    <n v="2300"/>
    <n v="34500"/>
    <n v="4830"/>
    <x v="3"/>
    <n v="29670"/>
    <n v="6670"/>
    <x v="0"/>
    <n v="0.28999999999999998"/>
    <n v="6900"/>
    <n v="16100"/>
    <n v="3"/>
  </r>
  <r>
    <x v="14"/>
    <x v="3"/>
    <x v="3"/>
    <x v="4"/>
    <x v="0"/>
    <n v="5"/>
    <n v="23000"/>
    <x v="5"/>
    <n v="2300"/>
    <n v="34500"/>
    <n v="4830"/>
    <x v="3"/>
    <n v="29670"/>
    <n v="6670"/>
    <x v="0"/>
    <n v="0.28999999999999998"/>
    <n v="11500"/>
    <n v="11500"/>
    <n v="5"/>
  </r>
  <r>
    <x v="4"/>
    <x v="0"/>
    <x v="3"/>
    <x v="4"/>
    <x v="0"/>
    <n v="10"/>
    <n v="24700"/>
    <x v="5"/>
    <n v="2470"/>
    <n v="37050"/>
    <n v="5187"/>
    <x v="3"/>
    <n v="31863"/>
    <n v="7163"/>
    <x v="0"/>
    <n v="0.28999999999999998"/>
    <n v="24700"/>
    <n v="0"/>
    <n v="10"/>
  </r>
  <r>
    <x v="11"/>
    <x v="0"/>
    <x v="3"/>
    <x v="4"/>
    <x v="0"/>
    <n v="10"/>
    <n v="17430"/>
    <x v="5"/>
    <n v="1743"/>
    <n v="26145"/>
    <n v="3660.3"/>
    <x v="3"/>
    <n v="22484.7"/>
    <n v="5054.7000000000007"/>
    <x v="0"/>
    <n v="0.29000000000000004"/>
    <n v="17430"/>
    <n v="0"/>
    <n v="10"/>
  </r>
  <r>
    <x v="11"/>
    <x v="1"/>
    <x v="3"/>
    <x v="4"/>
    <x v="0"/>
    <n v="260"/>
    <n v="17430"/>
    <x v="5"/>
    <n v="1743"/>
    <n v="26145"/>
    <n v="3660.3"/>
    <x v="3"/>
    <n v="22484.7"/>
    <n v="5054.7000000000007"/>
    <x v="0"/>
    <n v="0.29000000000000004"/>
    <n v="453180"/>
    <n v="-435750"/>
    <n v="10"/>
  </r>
  <r>
    <x v="1"/>
    <x v="0"/>
    <x v="3"/>
    <x v="4"/>
    <x v="0"/>
    <n v="10"/>
    <n v="16140"/>
    <x v="5"/>
    <n v="1614"/>
    <n v="24210"/>
    <n v="3631.5"/>
    <x v="3"/>
    <n v="20578.5"/>
    <n v="4438.5"/>
    <x v="0"/>
    <n v="0.27500000000000002"/>
    <n v="16140"/>
    <n v="0"/>
    <n v="10"/>
  </r>
  <r>
    <x v="2"/>
    <x v="0"/>
    <x v="3"/>
    <x v="4"/>
    <x v="0"/>
    <n v="10"/>
    <n v="25590"/>
    <x v="5"/>
    <n v="2559"/>
    <n v="38385"/>
    <n v="5757.75"/>
    <x v="3"/>
    <n v="32627.25"/>
    <n v="7037.25"/>
    <x v="0"/>
    <n v="0.27500000000000002"/>
    <n v="25590"/>
    <n v="0"/>
    <n v="10"/>
  </r>
  <r>
    <x v="1"/>
    <x v="3"/>
    <x v="4"/>
    <x v="0"/>
    <x v="0"/>
    <n v="5"/>
    <n v="575250"/>
    <x v="6"/>
    <n v="2301"/>
    <n v="690300"/>
    <n v="6903"/>
    <x v="1"/>
    <n v="683397"/>
    <n v="108147"/>
    <x v="1"/>
    <n v="0.188"/>
    <n v="11505"/>
    <n v="563745"/>
    <n v="5"/>
  </r>
  <r>
    <x v="4"/>
    <x v="3"/>
    <x v="4"/>
    <x v="0"/>
    <x v="0"/>
    <n v="5"/>
    <n v="624500"/>
    <x v="6"/>
    <n v="2498"/>
    <n v="749400"/>
    <n v="7494"/>
    <x v="1"/>
    <n v="741906"/>
    <n v="117406"/>
    <x v="1"/>
    <n v="0.188"/>
    <n v="12490"/>
    <n v="612010"/>
    <n v="5"/>
  </r>
  <r>
    <x v="9"/>
    <x v="0"/>
    <x v="4"/>
    <x v="0"/>
    <x v="0"/>
    <n v="10"/>
    <n v="726250"/>
    <x v="6"/>
    <n v="2905"/>
    <n v="871500"/>
    <n v="8715"/>
    <x v="1"/>
    <n v="862785"/>
    <n v="136535"/>
    <x v="1"/>
    <n v="0.188"/>
    <n v="29050"/>
    <n v="697200"/>
    <n v="10"/>
  </r>
  <r>
    <x v="3"/>
    <x v="5"/>
    <x v="4"/>
    <x v="0"/>
    <x v="0"/>
    <n v="250"/>
    <n v="711000"/>
    <x v="6"/>
    <n v="2844"/>
    <n v="853200"/>
    <n v="25596"/>
    <x v="1"/>
    <n v="827604"/>
    <n v="116604"/>
    <x v="1"/>
    <n v="0.16400000000000001"/>
    <n v="711000"/>
    <n v="0"/>
    <n v="250"/>
  </r>
  <r>
    <x v="15"/>
    <x v="0"/>
    <x v="4"/>
    <x v="0"/>
    <x v="0"/>
    <n v="10"/>
    <n v="729500"/>
    <x v="6"/>
    <n v="2918"/>
    <n v="875400"/>
    <n v="35016"/>
    <x v="1"/>
    <n v="840384"/>
    <n v="110884"/>
    <x v="1"/>
    <n v="0.152"/>
    <n v="29180"/>
    <n v="700320"/>
    <n v="10"/>
  </r>
  <r>
    <x v="5"/>
    <x v="2"/>
    <x v="4"/>
    <x v="0"/>
    <x v="0"/>
    <n v="3"/>
    <n v="247750"/>
    <x v="6"/>
    <n v="991"/>
    <n v="297300"/>
    <n v="14865"/>
    <x v="2"/>
    <n v="282435"/>
    <n v="34685"/>
    <x v="1"/>
    <n v="0.14000000000000001"/>
    <n v="2973"/>
    <n v="244777"/>
    <n v="3"/>
  </r>
  <r>
    <x v="5"/>
    <x v="0"/>
    <x v="4"/>
    <x v="0"/>
    <x v="0"/>
    <n v="10"/>
    <n v="247750"/>
    <x v="6"/>
    <n v="991"/>
    <n v="297300"/>
    <n v="14865"/>
    <x v="2"/>
    <n v="282435"/>
    <n v="34685"/>
    <x v="1"/>
    <n v="0.14000000000000001"/>
    <n v="9910"/>
    <n v="237840"/>
    <n v="10"/>
  </r>
  <r>
    <x v="14"/>
    <x v="4"/>
    <x v="4"/>
    <x v="0"/>
    <x v="0"/>
    <n v="120"/>
    <n v="343000"/>
    <x v="6"/>
    <n v="1372"/>
    <n v="411600"/>
    <n v="28812"/>
    <x v="2"/>
    <n v="382788"/>
    <n v="39788"/>
    <x v="1"/>
    <n v="0.11600000000000001"/>
    <n v="164640"/>
    <n v="178360"/>
    <n v="120"/>
  </r>
  <r>
    <x v="14"/>
    <x v="1"/>
    <x v="4"/>
    <x v="0"/>
    <x v="0"/>
    <n v="260"/>
    <n v="343000"/>
    <x v="6"/>
    <n v="1372"/>
    <n v="411600"/>
    <n v="28812"/>
    <x v="2"/>
    <n v="382788"/>
    <n v="39788"/>
    <x v="1"/>
    <n v="0.11600000000000001"/>
    <n v="356720"/>
    <n v="-13720"/>
    <n v="250"/>
  </r>
  <r>
    <x v="12"/>
    <x v="5"/>
    <x v="4"/>
    <x v="0"/>
    <x v="0"/>
    <n v="250"/>
    <n v="202000"/>
    <x v="6"/>
    <n v="808"/>
    <n v="242400"/>
    <n v="19392"/>
    <x v="2"/>
    <n v="223008"/>
    <n v="21008"/>
    <x v="1"/>
    <n v="0.104"/>
    <n v="202000"/>
    <n v="0"/>
    <n v="250"/>
  </r>
  <r>
    <x v="6"/>
    <x v="5"/>
    <x v="4"/>
    <x v="0"/>
    <x v="0"/>
    <n v="250"/>
    <n v="466750"/>
    <x v="6"/>
    <n v="1867"/>
    <n v="560100"/>
    <n v="50409"/>
    <x v="2"/>
    <n v="509691"/>
    <n v="42941"/>
    <x v="1"/>
    <n v="9.1999999999999998E-2"/>
    <n v="466750"/>
    <n v="0"/>
    <n v="250"/>
  </r>
  <r>
    <x v="11"/>
    <x v="4"/>
    <x v="4"/>
    <x v="0"/>
    <x v="0"/>
    <n v="120"/>
    <n v="573500"/>
    <x v="6"/>
    <n v="2294"/>
    <n v="688200"/>
    <n v="68820"/>
    <x v="3"/>
    <n v="619380"/>
    <n v="45880"/>
    <x v="1"/>
    <n v="0.08"/>
    <n v="275280"/>
    <n v="298220"/>
    <n v="120"/>
  </r>
  <r>
    <x v="11"/>
    <x v="5"/>
    <x v="4"/>
    <x v="0"/>
    <x v="0"/>
    <n v="250"/>
    <n v="573500"/>
    <x v="6"/>
    <n v="2294"/>
    <n v="688200"/>
    <n v="68820"/>
    <x v="3"/>
    <n v="619380"/>
    <n v="45880"/>
    <x v="1"/>
    <n v="0.08"/>
    <n v="573500"/>
    <n v="0"/>
    <n v="250"/>
  </r>
  <r>
    <x v="8"/>
    <x v="1"/>
    <x v="4"/>
    <x v="0"/>
    <x v="0"/>
    <n v="260"/>
    <n v="748250"/>
    <x v="6"/>
    <n v="2993"/>
    <n v="897900"/>
    <n v="89790"/>
    <x v="3"/>
    <n v="808110"/>
    <n v="59860"/>
    <x v="1"/>
    <n v="0.08"/>
    <n v="778180"/>
    <n v="-29930"/>
    <n v="250"/>
  </r>
  <r>
    <x v="10"/>
    <x v="0"/>
    <x v="4"/>
    <x v="0"/>
    <x v="0"/>
    <n v="10"/>
    <n v="873750"/>
    <x v="6"/>
    <n v="3495"/>
    <n v="1048500"/>
    <n v="125820"/>
    <x v="3"/>
    <n v="922680"/>
    <n v="48930"/>
    <x v="1"/>
    <n v="5.6000000000000001E-2"/>
    <n v="34950"/>
    <n v="838800"/>
    <n v="10"/>
  </r>
  <r>
    <x v="13"/>
    <x v="2"/>
    <x v="4"/>
    <x v="0"/>
    <x v="0"/>
    <n v="3"/>
    <n v="252500"/>
    <x v="6"/>
    <n v="1010"/>
    <n v="303000"/>
    <n v="42420"/>
    <x v="3"/>
    <n v="260580"/>
    <n v="8080"/>
    <x v="1"/>
    <n v="3.2000000000000001E-2"/>
    <n v="3030"/>
    <n v="249470"/>
    <n v="3"/>
  </r>
  <r>
    <x v="7"/>
    <x v="4"/>
    <x v="4"/>
    <x v="0"/>
    <x v="0"/>
    <n v="120"/>
    <n v="615000"/>
    <x v="6"/>
    <n v="2460"/>
    <n v="738000"/>
    <n v="103320"/>
    <x v="3"/>
    <n v="634680"/>
    <n v="19680"/>
    <x v="1"/>
    <n v="3.2000000000000001E-2"/>
    <n v="295200"/>
    <n v="319800"/>
    <n v="120"/>
  </r>
  <r>
    <x v="2"/>
    <x v="5"/>
    <x v="4"/>
    <x v="0"/>
    <x v="0"/>
    <n v="250"/>
    <n v="635250"/>
    <x v="6"/>
    <n v="2541"/>
    <n v="762300"/>
    <n v="106722"/>
    <x v="3"/>
    <n v="655578"/>
    <n v="20328"/>
    <x v="1"/>
    <n v="3.2000000000000001E-2"/>
    <n v="635250"/>
    <n v="0"/>
    <n v="250"/>
  </r>
  <r>
    <x v="13"/>
    <x v="5"/>
    <x v="4"/>
    <x v="0"/>
    <x v="0"/>
    <n v="250"/>
    <n v="252500"/>
    <x v="6"/>
    <n v="1010"/>
    <n v="303000"/>
    <n v="42420"/>
    <x v="3"/>
    <n v="260580"/>
    <n v="8080"/>
    <x v="1"/>
    <n v="3.2000000000000001E-2"/>
    <n v="252500"/>
    <n v="0"/>
    <n v="250"/>
  </r>
  <r>
    <x v="0"/>
    <x v="4"/>
    <x v="4"/>
    <x v="0"/>
    <x v="0"/>
    <n v="120"/>
    <n v="643500"/>
    <x v="6"/>
    <n v="2574"/>
    <n v="772200"/>
    <n v="115830"/>
    <x v="3"/>
    <n v="656370"/>
    <n v="12870"/>
    <x v="1"/>
    <n v="0.02"/>
    <n v="308880"/>
    <n v="334620"/>
    <n v="120"/>
  </r>
  <r>
    <x v="2"/>
    <x v="3"/>
    <x v="4"/>
    <x v="1"/>
    <x v="0"/>
    <n v="5"/>
    <n v="239500"/>
    <x v="6"/>
    <n v="958"/>
    <n v="287400"/>
    <n v="0"/>
    <x v="0"/>
    <n v="287400"/>
    <n v="47900"/>
    <x v="1"/>
    <n v="0.2"/>
    <n v="4790"/>
    <n v="234710"/>
    <n v="5"/>
  </r>
  <r>
    <x v="4"/>
    <x v="0"/>
    <x v="4"/>
    <x v="1"/>
    <x v="0"/>
    <n v="10"/>
    <n v="197000"/>
    <x v="6"/>
    <n v="788"/>
    <n v="236400"/>
    <n v="0"/>
    <x v="0"/>
    <n v="236400"/>
    <n v="39400"/>
    <x v="1"/>
    <n v="0.2"/>
    <n v="7880"/>
    <n v="189120"/>
    <n v="10"/>
  </r>
  <r>
    <x v="11"/>
    <x v="2"/>
    <x v="4"/>
    <x v="1"/>
    <x v="0"/>
    <n v="3"/>
    <n v="123500"/>
    <x v="6"/>
    <n v="494"/>
    <n v="148200"/>
    <n v="1482"/>
    <x v="1"/>
    <n v="146718"/>
    <n v="23218"/>
    <x v="1"/>
    <n v="0.188"/>
    <n v="1482"/>
    <n v="122018"/>
    <n v="3"/>
  </r>
  <r>
    <x v="11"/>
    <x v="5"/>
    <x v="4"/>
    <x v="1"/>
    <x v="0"/>
    <n v="250"/>
    <n v="123500"/>
    <x v="6"/>
    <n v="494"/>
    <n v="148200"/>
    <n v="1482"/>
    <x v="1"/>
    <n v="146718"/>
    <n v="23218"/>
    <x v="1"/>
    <n v="0.188"/>
    <n v="123500"/>
    <n v="0"/>
    <n v="250"/>
  </r>
  <r>
    <x v="8"/>
    <x v="1"/>
    <x v="4"/>
    <x v="1"/>
    <x v="0"/>
    <n v="260"/>
    <n v="275250"/>
    <x v="6"/>
    <n v="1101"/>
    <n v="330300"/>
    <n v="6606"/>
    <x v="1"/>
    <n v="323694"/>
    <n v="48444"/>
    <x v="1"/>
    <n v="0.17599999999999999"/>
    <n v="286260"/>
    <n v="-11010"/>
    <n v="250"/>
  </r>
  <r>
    <x v="12"/>
    <x v="3"/>
    <x v="4"/>
    <x v="1"/>
    <x v="0"/>
    <n v="5"/>
    <n v="275000"/>
    <x v="6"/>
    <n v="1100"/>
    <n v="330000"/>
    <n v="16500"/>
    <x v="2"/>
    <n v="313500"/>
    <n v="38500"/>
    <x v="1"/>
    <n v="0.14000000000000001"/>
    <n v="5500"/>
    <n v="269500"/>
    <n v="5"/>
  </r>
  <r>
    <x v="1"/>
    <x v="0"/>
    <x v="4"/>
    <x v="1"/>
    <x v="0"/>
    <n v="10"/>
    <n v="401750"/>
    <x v="6"/>
    <n v="1607"/>
    <n v="482100"/>
    <n v="24105"/>
    <x v="2"/>
    <n v="457995"/>
    <n v="56245"/>
    <x v="1"/>
    <n v="0.14000000000000001"/>
    <n v="16070"/>
    <n v="385680"/>
    <n v="10"/>
  </r>
  <r>
    <x v="3"/>
    <x v="5"/>
    <x v="4"/>
    <x v="1"/>
    <x v="0"/>
    <n v="250"/>
    <n v="686750"/>
    <x v="6"/>
    <n v="2747"/>
    <n v="824100"/>
    <n v="57687"/>
    <x v="2"/>
    <n v="766413"/>
    <n v="79663"/>
    <x v="1"/>
    <n v="0.11600000000000001"/>
    <n v="686750"/>
    <n v="0"/>
    <n v="250"/>
  </r>
  <r>
    <x v="5"/>
    <x v="0"/>
    <x v="4"/>
    <x v="1"/>
    <x v="0"/>
    <n v="10"/>
    <n v="615000"/>
    <x v="6"/>
    <n v="2460"/>
    <n v="738000"/>
    <n v="59040"/>
    <x v="2"/>
    <n v="678960"/>
    <n v="63960"/>
    <x v="1"/>
    <n v="0.104"/>
    <n v="24600"/>
    <n v="590400"/>
    <n v="10"/>
  </r>
  <r>
    <x v="14"/>
    <x v="4"/>
    <x v="4"/>
    <x v="1"/>
    <x v="0"/>
    <n v="120"/>
    <n v="158750"/>
    <x v="6"/>
    <n v="635"/>
    <n v="190500"/>
    <n v="15240"/>
    <x v="2"/>
    <n v="175260"/>
    <n v="16510"/>
    <x v="1"/>
    <n v="0.104"/>
    <n v="76200"/>
    <n v="82550"/>
    <n v="120"/>
  </r>
  <r>
    <x v="5"/>
    <x v="1"/>
    <x v="4"/>
    <x v="1"/>
    <x v="0"/>
    <n v="260"/>
    <n v="615000"/>
    <x v="6"/>
    <n v="2460"/>
    <n v="738000"/>
    <n v="59040"/>
    <x v="2"/>
    <n v="678960"/>
    <n v="63960"/>
    <x v="1"/>
    <n v="0.104"/>
    <n v="639600"/>
    <n v="-24600"/>
    <n v="250"/>
  </r>
  <r>
    <x v="14"/>
    <x v="1"/>
    <x v="4"/>
    <x v="1"/>
    <x v="0"/>
    <n v="260"/>
    <n v="158750"/>
    <x v="6"/>
    <n v="635"/>
    <n v="190500"/>
    <n v="15240"/>
    <x v="2"/>
    <n v="175260"/>
    <n v="16510"/>
    <x v="1"/>
    <n v="0.104"/>
    <n v="165100"/>
    <n v="-6350"/>
    <n v="250"/>
  </r>
  <r>
    <x v="10"/>
    <x v="0"/>
    <x v="4"/>
    <x v="1"/>
    <x v="0"/>
    <n v="10"/>
    <n v="641250"/>
    <x v="6"/>
    <n v="2565"/>
    <n v="769500"/>
    <n v="69255"/>
    <x v="2"/>
    <n v="700245"/>
    <n v="58995"/>
    <x v="1"/>
    <n v="9.1999999999999998E-2"/>
    <n v="25650"/>
    <n v="615600"/>
    <n v="10"/>
  </r>
  <r>
    <x v="15"/>
    <x v="0"/>
    <x v="4"/>
    <x v="1"/>
    <x v="0"/>
    <n v="10"/>
    <n v="147750"/>
    <x v="6"/>
    <n v="591"/>
    <n v="177300"/>
    <n v="17730"/>
    <x v="3"/>
    <n v="159570"/>
    <n v="11820"/>
    <x v="1"/>
    <n v="0.08"/>
    <n v="5910"/>
    <n v="141840"/>
    <n v="10"/>
  </r>
  <r>
    <x v="6"/>
    <x v="5"/>
    <x v="4"/>
    <x v="1"/>
    <x v="0"/>
    <n v="250"/>
    <n v="108000"/>
    <x v="6"/>
    <n v="432"/>
    <n v="129600"/>
    <n v="12960"/>
    <x v="3"/>
    <n v="116640"/>
    <n v="8640"/>
    <x v="1"/>
    <n v="0.08"/>
    <n v="108000"/>
    <n v="0"/>
    <n v="250"/>
  </r>
  <r>
    <x v="9"/>
    <x v="0"/>
    <x v="4"/>
    <x v="1"/>
    <x v="0"/>
    <n v="10"/>
    <n v="537500"/>
    <x v="6"/>
    <n v="2150"/>
    <n v="645000"/>
    <n v="77400"/>
    <x v="3"/>
    <n v="567600"/>
    <n v="30100"/>
    <x v="1"/>
    <n v="5.6000000000000001E-2"/>
    <n v="21500"/>
    <n v="516000"/>
    <n v="10"/>
  </r>
  <r>
    <x v="0"/>
    <x v="4"/>
    <x v="4"/>
    <x v="1"/>
    <x v="0"/>
    <n v="120"/>
    <n v="651250"/>
    <x v="6"/>
    <n v="2605"/>
    <n v="781500"/>
    <n v="101595"/>
    <x v="3"/>
    <n v="679905"/>
    <n v="28655"/>
    <x v="1"/>
    <n v="4.3999999999999997E-2"/>
    <n v="312600"/>
    <n v="338650"/>
    <n v="120"/>
  </r>
  <r>
    <x v="7"/>
    <x v="2"/>
    <x v="4"/>
    <x v="1"/>
    <x v="0"/>
    <n v="3"/>
    <n v="200250"/>
    <x v="6"/>
    <n v="801"/>
    <n v="240300"/>
    <n v="33642"/>
    <x v="3"/>
    <n v="206658"/>
    <n v="6408"/>
    <x v="1"/>
    <n v="3.2000000000000001E-2"/>
    <n v="2403"/>
    <n v="197847"/>
    <n v="3"/>
  </r>
  <r>
    <x v="13"/>
    <x v="3"/>
    <x v="4"/>
    <x v="1"/>
    <x v="0"/>
    <n v="5"/>
    <n v="136500"/>
    <x v="6"/>
    <n v="546"/>
    <n v="163800"/>
    <n v="24570"/>
    <x v="3"/>
    <n v="139230"/>
    <n v="2730"/>
    <x v="1"/>
    <n v="0.02"/>
    <n v="2730"/>
    <n v="133770"/>
    <n v="5"/>
  </r>
  <r>
    <x v="13"/>
    <x v="1"/>
    <x v="4"/>
    <x v="1"/>
    <x v="0"/>
    <n v="260"/>
    <n v="136500"/>
    <x v="6"/>
    <n v="546"/>
    <n v="163800"/>
    <n v="24570"/>
    <x v="3"/>
    <n v="139230"/>
    <n v="2730"/>
    <x v="1"/>
    <n v="0.02"/>
    <n v="141960"/>
    <n v="-5460"/>
    <n v="250"/>
  </r>
  <r>
    <x v="6"/>
    <x v="5"/>
    <x v="4"/>
    <x v="2"/>
    <x v="1"/>
    <n v="250"/>
    <n v="246500"/>
    <x v="6"/>
    <n v="986"/>
    <n v="295800"/>
    <n v="2958"/>
    <x v="1"/>
    <n v="292842"/>
    <n v="46342"/>
    <x v="1"/>
    <n v="0.188"/>
    <n v="246500"/>
    <n v="0"/>
    <n v="250"/>
  </r>
  <r>
    <x v="11"/>
    <x v="2"/>
    <x v="4"/>
    <x v="2"/>
    <x v="1"/>
    <n v="3"/>
    <n v="53500"/>
    <x v="6"/>
    <n v="214"/>
    <n v="64200"/>
    <n v="1284"/>
    <x v="1"/>
    <n v="62916"/>
    <n v="9416"/>
    <x v="1"/>
    <n v="0.17599999999999999"/>
    <n v="642"/>
    <n v="52858"/>
    <n v="3"/>
  </r>
  <r>
    <x v="15"/>
    <x v="0"/>
    <x v="4"/>
    <x v="2"/>
    <x v="1"/>
    <n v="10"/>
    <n v="432000"/>
    <x v="6"/>
    <n v="1728"/>
    <n v="518400"/>
    <n v="10368"/>
    <x v="1"/>
    <n v="508032"/>
    <n v="76032"/>
    <x v="1"/>
    <n v="0.17599999999999999"/>
    <n v="17280"/>
    <n v="414720"/>
    <n v="10"/>
  </r>
  <r>
    <x v="11"/>
    <x v="5"/>
    <x v="4"/>
    <x v="2"/>
    <x v="1"/>
    <n v="250"/>
    <n v="53500"/>
    <x v="6"/>
    <n v="214"/>
    <n v="64200"/>
    <n v="1284"/>
    <x v="1"/>
    <n v="62916"/>
    <n v="9416"/>
    <x v="1"/>
    <n v="0.17599999999999999"/>
    <n v="53500"/>
    <n v="0"/>
    <n v="250"/>
  </r>
  <r>
    <x v="8"/>
    <x v="1"/>
    <x v="4"/>
    <x v="2"/>
    <x v="1"/>
    <n v="260"/>
    <n v="64750"/>
    <x v="6"/>
    <n v="259"/>
    <n v="77700"/>
    <n v="1554"/>
    <x v="1"/>
    <n v="76146"/>
    <n v="11396"/>
    <x v="1"/>
    <n v="0.17599999999999999"/>
    <n v="67340"/>
    <n v="-2590"/>
    <n v="250"/>
  </r>
  <r>
    <x v="5"/>
    <x v="2"/>
    <x v="4"/>
    <x v="2"/>
    <x v="1"/>
    <n v="3"/>
    <n v="172250"/>
    <x v="6"/>
    <n v="689"/>
    <n v="206700"/>
    <n v="6201"/>
    <x v="1"/>
    <n v="200499"/>
    <n v="28249"/>
    <x v="1"/>
    <n v="0.16400000000000001"/>
    <n v="2067"/>
    <n v="170183"/>
    <n v="3"/>
  </r>
  <r>
    <x v="5"/>
    <x v="0"/>
    <x v="4"/>
    <x v="2"/>
    <x v="1"/>
    <n v="10"/>
    <n v="172250"/>
    <x v="6"/>
    <n v="689"/>
    <n v="206700"/>
    <n v="6201"/>
    <x v="1"/>
    <n v="200499"/>
    <n v="28249"/>
    <x v="1"/>
    <n v="0.16400000000000001"/>
    <n v="6890"/>
    <n v="165360"/>
    <n v="10"/>
  </r>
  <r>
    <x v="13"/>
    <x v="2"/>
    <x v="4"/>
    <x v="2"/>
    <x v="1"/>
    <n v="3"/>
    <n v="505250"/>
    <x v="6"/>
    <n v="2021"/>
    <n v="606300"/>
    <n v="24252"/>
    <x v="1"/>
    <n v="582048"/>
    <n v="76798"/>
    <x v="1"/>
    <n v="0.152"/>
    <n v="6063"/>
    <n v="499187"/>
    <n v="3"/>
  </r>
  <r>
    <x v="2"/>
    <x v="3"/>
    <x v="4"/>
    <x v="2"/>
    <x v="1"/>
    <n v="5"/>
    <n v="464750"/>
    <x v="6"/>
    <n v="1859"/>
    <n v="557700"/>
    <n v="22308"/>
    <x v="1"/>
    <n v="535392"/>
    <n v="70642"/>
    <x v="1"/>
    <n v="0.152"/>
    <n v="9295"/>
    <n v="455455"/>
    <n v="5"/>
  </r>
  <r>
    <x v="13"/>
    <x v="3"/>
    <x v="4"/>
    <x v="2"/>
    <x v="1"/>
    <n v="5"/>
    <n v="505250"/>
    <x v="6"/>
    <n v="2021"/>
    <n v="606300"/>
    <n v="24252"/>
    <x v="1"/>
    <n v="582048"/>
    <n v="76798"/>
    <x v="1"/>
    <n v="0.152"/>
    <n v="10105"/>
    <n v="495145"/>
    <n v="5"/>
  </r>
  <r>
    <x v="1"/>
    <x v="0"/>
    <x v="4"/>
    <x v="2"/>
    <x v="1"/>
    <n v="10"/>
    <n v="353625"/>
    <x v="6"/>
    <n v="1414.5"/>
    <n v="424350"/>
    <n v="16974"/>
    <x v="1"/>
    <n v="407376"/>
    <n v="53751"/>
    <x v="1"/>
    <n v="0.152"/>
    <n v="14145"/>
    <n v="339480"/>
    <n v="10"/>
  </r>
  <r>
    <x v="14"/>
    <x v="4"/>
    <x v="4"/>
    <x v="2"/>
    <x v="1"/>
    <n v="120"/>
    <n v="312500"/>
    <x v="6"/>
    <n v="1250"/>
    <n v="375000"/>
    <n v="18750"/>
    <x v="2"/>
    <n v="356250"/>
    <n v="43750"/>
    <x v="1"/>
    <n v="0.14000000000000001"/>
    <n v="150000"/>
    <n v="162500"/>
    <n v="120"/>
  </r>
  <r>
    <x v="14"/>
    <x v="1"/>
    <x v="4"/>
    <x v="2"/>
    <x v="1"/>
    <n v="260"/>
    <n v="312500"/>
    <x v="6"/>
    <n v="1250"/>
    <n v="375000"/>
    <n v="18750"/>
    <x v="2"/>
    <n v="356250"/>
    <n v="43750"/>
    <x v="1"/>
    <n v="0.14000000000000001"/>
    <n v="325000"/>
    <n v="-12500"/>
    <n v="250"/>
  </r>
  <r>
    <x v="4"/>
    <x v="0"/>
    <x v="4"/>
    <x v="2"/>
    <x v="1"/>
    <n v="10"/>
    <n v="280750"/>
    <x v="6"/>
    <n v="1123"/>
    <n v="336900"/>
    <n v="23583"/>
    <x v="2"/>
    <n v="313317"/>
    <n v="32567"/>
    <x v="1"/>
    <n v="0.11600000000000001"/>
    <n v="11230"/>
    <n v="269520"/>
    <n v="10"/>
  </r>
  <r>
    <x v="12"/>
    <x v="3"/>
    <x v="4"/>
    <x v="2"/>
    <x v="1"/>
    <n v="5"/>
    <n v="83500"/>
    <x v="6"/>
    <n v="334"/>
    <n v="100200"/>
    <n v="9018"/>
    <x v="2"/>
    <n v="91182"/>
    <n v="7682"/>
    <x v="1"/>
    <n v="9.1999999999999998E-2"/>
    <n v="1670"/>
    <n v="81830"/>
    <n v="5"/>
  </r>
  <r>
    <x v="3"/>
    <x v="5"/>
    <x v="4"/>
    <x v="2"/>
    <x v="1"/>
    <n v="250"/>
    <n v="664750"/>
    <x v="6"/>
    <n v="2659"/>
    <n v="797700"/>
    <n v="71793"/>
    <x v="2"/>
    <n v="725907"/>
    <n v="61157"/>
    <x v="1"/>
    <n v="9.1999999999999998E-2"/>
    <n v="664750"/>
    <n v="0"/>
    <n v="250"/>
  </r>
  <r>
    <x v="7"/>
    <x v="2"/>
    <x v="4"/>
    <x v="2"/>
    <x v="1"/>
    <n v="3"/>
    <n v="702750"/>
    <x v="6"/>
    <n v="2811"/>
    <n v="843300"/>
    <n v="92763"/>
    <x v="3"/>
    <n v="750537"/>
    <n v="47787"/>
    <x v="1"/>
    <n v="6.8000000000000005E-2"/>
    <n v="8433"/>
    <n v="694317"/>
    <n v="3"/>
  </r>
  <r>
    <x v="9"/>
    <x v="0"/>
    <x v="4"/>
    <x v="2"/>
    <x v="1"/>
    <n v="10"/>
    <n v="339750"/>
    <x v="6"/>
    <n v="1359"/>
    <n v="407700"/>
    <n v="48924"/>
    <x v="3"/>
    <n v="358776"/>
    <n v="19026"/>
    <x v="1"/>
    <n v="5.6000000000000001E-2"/>
    <n v="13590"/>
    <n v="326160"/>
    <n v="10"/>
  </r>
  <r>
    <x v="10"/>
    <x v="0"/>
    <x v="4"/>
    <x v="2"/>
    <x v="1"/>
    <n v="10"/>
    <n v="201750"/>
    <x v="6"/>
    <n v="807"/>
    <n v="242100"/>
    <n v="31473"/>
    <x v="3"/>
    <n v="210627"/>
    <n v="8877"/>
    <x v="1"/>
    <n v="4.3999999999999997E-2"/>
    <n v="8070"/>
    <n v="193680"/>
    <n v="10"/>
  </r>
  <r>
    <x v="0"/>
    <x v="4"/>
    <x v="4"/>
    <x v="2"/>
    <x v="1"/>
    <n v="120"/>
    <n v="634000"/>
    <x v="6"/>
    <n v="2536"/>
    <n v="760800"/>
    <n v="106512"/>
    <x v="3"/>
    <n v="654288"/>
    <n v="20288"/>
    <x v="1"/>
    <n v="3.2000000000000001E-2"/>
    <n v="304320"/>
    <n v="329680"/>
    <n v="120"/>
  </r>
  <r>
    <x v="6"/>
    <x v="5"/>
    <x v="4"/>
    <x v="3"/>
    <x v="1"/>
    <n v="250"/>
    <n v="537750"/>
    <x v="6"/>
    <n v="2151"/>
    <n v="645300"/>
    <n v="0"/>
    <x v="0"/>
    <n v="645300"/>
    <n v="107550"/>
    <x v="1"/>
    <n v="0.2"/>
    <n v="537750"/>
    <n v="0"/>
    <n v="250"/>
  </r>
  <r>
    <x v="15"/>
    <x v="0"/>
    <x v="4"/>
    <x v="3"/>
    <x v="1"/>
    <n v="10"/>
    <n v="229500"/>
    <x v="6"/>
    <n v="918"/>
    <n v="275400"/>
    <n v="5508"/>
    <x v="1"/>
    <n v="269892"/>
    <n v="40392"/>
    <x v="1"/>
    <n v="0.17599999999999999"/>
    <n v="9180"/>
    <n v="220320"/>
    <n v="10"/>
  </r>
  <r>
    <x v="10"/>
    <x v="0"/>
    <x v="4"/>
    <x v="3"/>
    <x v="1"/>
    <n v="10"/>
    <n v="608625"/>
    <x v="6"/>
    <n v="2434.5"/>
    <n v="730350"/>
    <n v="21910.5"/>
    <x v="1"/>
    <n v="708439.5"/>
    <n v="99814.5"/>
    <x v="1"/>
    <n v="0.16400000000000001"/>
    <n v="24345"/>
    <n v="584280"/>
    <n v="10"/>
  </r>
  <r>
    <x v="11"/>
    <x v="4"/>
    <x v="4"/>
    <x v="3"/>
    <x v="1"/>
    <n v="120"/>
    <n v="305250"/>
    <x v="6"/>
    <n v="1221"/>
    <n v="366300"/>
    <n v="21978"/>
    <x v="2"/>
    <n v="344322"/>
    <n v="39072"/>
    <x v="1"/>
    <n v="0.128"/>
    <n v="146520"/>
    <n v="158730"/>
    <n v="120"/>
  </r>
  <r>
    <x v="11"/>
    <x v="5"/>
    <x v="4"/>
    <x v="3"/>
    <x v="1"/>
    <n v="250"/>
    <n v="305250"/>
    <x v="6"/>
    <n v="1221"/>
    <n v="366300"/>
    <n v="21978"/>
    <x v="2"/>
    <n v="344322"/>
    <n v="39072"/>
    <x v="1"/>
    <n v="0.128"/>
    <n v="305250"/>
    <n v="0"/>
    <n v="250"/>
  </r>
  <r>
    <x v="5"/>
    <x v="2"/>
    <x v="4"/>
    <x v="3"/>
    <x v="1"/>
    <n v="3"/>
    <n v="112000"/>
    <x v="6"/>
    <n v="448"/>
    <n v="134400"/>
    <n v="9408"/>
    <x v="2"/>
    <n v="124992"/>
    <n v="12992"/>
    <x v="1"/>
    <n v="0.11600000000000001"/>
    <n v="1344"/>
    <n v="110656"/>
    <n v="3"/>
  </r>
  <r>
    <x v="13"/>
    <x v="2"/>
    <x v="4"/>
    <x v="3"/>
    <x v="1"/>
    <n v="3"/>
    <n v="545250"/>
    <x v="6"/>
    <n v="2181"/>
    <n v="654300"/>
    <n v="45801"/>
    <x v="2"/>
    <n v="608499"/>
    <n v="63249"/>
    <x v="1"/>
    <n v="0.11600000000000001"/>
    <n v="6543"/>
    <n v="538707"/>
    <n v="3"/>
  </r>
  <r>
    <x v="13"/>
    <x v="3"/>
    <x v="4"/>
    <x v="3"/>
    <x v="1"/>
    <n v="5"/>
    <n v="545250"/>
    <x v="6"/>
    <n v="2181"/>
    <n v="654300"/>
    <n v="45801"/>
    <x v="2"/>
    <n v="608499"/>
    <n v="63249"/>
    <x v="1"/>
    <n v="0.11600000000000001"/>
    <n v="10905"/>
    <n v="534345"/>
    <n v="5"/>
  </r>
  <r>
    <x v="5"/>
    <x v="0"/>
    <x v="4"/>
    <x v="3"/>
    <x v="1"/>
    <n v="10"/>
    <n v="112000"/>
    <x v="6"/>
    <n v="448"/>
    <n v="134400"/>
    <n v="9408"/>
    <x v="2"/>
    <n v="124992"/>
    <n v="12992"/>
    <x v="1"/>
    <n v="0.11600000000000001"/>
    <n v="4480"/>
    <n v="107520"/>
    <n v="10"/>
  </r>
  <r>
    <x v="7"/>
    <x v="4"/>
    <x v="4"/>
    <x v="3"/>
    <x v="1"/>
    <n v="120"/>
    <n v="414750"/>
    <x v="6"/>
    <n v="1659"/>
    <n v="497700"/>
    <n v="34839"/>
    <x v="2"/>
    <n v="462861"/>
    <n v="48111"/>
    <x v="1"/>
    <n v="0.11600000000000001"/>
    <n v="199080"/>
    <n v="215670"/>
    <n v="120"/>
  </r>
  <r>
    <x v="3"/>
    <x v="5"/>
    <x v="4"/>
    <x v="3"/>
    <x v="1"/>
    <n v="250"/>
    <n v="239750"/>
    <x v="6"/>
    <n v="959"/>
    <n v="287700"/>
    <n v="20139"/>
    <x v="2"/>
    <n v="267561"/>
    <n v="27811"/>
    <x v="1"/>
    <n v="0.11600000000000001"/>
    <n v="239750"/>
    <n v="0"/>
    <n v="250"/>
  </r>
  <r>
    <x v="2"/>
    <x v="3"/>
    <x v="4"/>
    <x v="3"/>
    <x v="1"/>
    <n v="5"/>
    <n v="390500"/>
    <x v="6"/>
    <n v="1562"/>
    <n v="468600"/>
    <n v="37488"/>
    <x v="2"/>
    <n v="431112"/>
    <n v="40612"/>
    <x v="1"/>
    <n v="0.104"/>
    <n v="7810"/>
    <n v="382690"/>
    <n v="5"/>
  </r>
  <r>
    <x v="0"/>
    <x v="4"/>
    <x v="4"/>
    <x v="3"/>
    <x v="1"/>
    <n v="120"/>
    <n v="96500"/>
    <x v="6"/>
    <n v="386"/>
    <n v="115800"/>
    <n v="9264"/>
    <x v="2"/>
    <n v="106536"/>
    <n v="10036"/>
    <x v="1"/>
    <n v="0.104"/>
    <n v="46320"/>
    <n v="50180"/>
    <n v="120"/>
  </r>
  <r>
    <x v="4"/>
    <x v="3"/>
    <x v="4"/>
    <x v="3"/>
    <x v="1"/>
    <n v="5"/>
    <n v="80500"/>
    <x v="6"/>
    <n v="322"/>
    <n v="96600"/>
    <n v="8694"/>
    <x v="2"/>
    <n v="87906"/>
    <n v="7406"/>
    <x v="1"/>
    <n v="9.1999999999999998E-2"/>
    <n v="1610"/>
    <n v="78890"/>
    <n v="5"/>
  </r>
  <r>
    <x v="9"/>
    <x v="0"/>
    <x v="4"/>
    <x v="3"/>
    <x v="1"/>
    <n v="10"/>
    <n v="331000"/>
    <x v="6"/>
    <n v="1324"/>
    <n v="397200"/>
    <n v="35748"/>
    <x v="2"/>
    <n v="361452"/>
    <n v="30452"/>
    <x v="1"/>
    <n v="9.1999999999999998E-2"/>
    <n v="13240"/>
    <n v="317760"/>
    <n v="10"/>
  </r>
  <r>
    <x v="14"/>
    <x v="4"/>
    <x v="4"/>
    <x v="3"/>
    <x v="1"/>
    <n v="120"/>
    <n v="213250"/>
    <x v="6"/>
    <n v="853"/>
    <n v="255900"/>
    <n v="25590"/>
    <x v="3"/>
    <n v="230310"/>
    <n v="17060"/>
    <x v="1"/>
    <n v="0.08"/>
    <n v="102360"/>
    <n v="110890"/>
    <n v="120"/>
  </r>
  <r>
    <x v="14"/>
    <x v="1"/>
    <x v="4"/>
    <x v="3"/>
    <x v="1"/>
    <n v="260"/>
    <n v="213250"/>
    <x v="6"/>
    <n v="853"/>
    <n v="255900"/>
    <n v="25590"/>
    <x v="3"/>
    <n v="230310"/>
    <n v="17060"/>
    <x v="1"/>
    <n v="0.08"/>
    <n v="221780"/>
    <n v="-8530"/>
    <n v="250"/>
  </r>
  <r>
    <x v="1"/>
    <x v="3"/>
    <x v="4"/>
    <x v="3"/>
    <x v="1"/>
    <n v="5"/>
    <n v="443250"/>
    <x v="6"/>
    <n v="1773"/>
    <n v="531900"/>
    <n v="63828"/>
    <x v="3"/>
    <n v="468072"/>
    <n v="24822"/>
    <x v="1"/>
    <n v="5.6000000000000001E-2"/>
    <n v="8865"/>
    <n v="434385"/>
    <n v="5"/>
  </r>
  <r>
    <x v="12"/>
    <x v="3"/>
    <x v="4"/>
    <x v="3"/>
    <x v="1"/>
    <n v="5"/>
    <n v="296500"/>
    <x v="6"/>
    <n v="1186"/>
    <n v="355800"/>
    <n v="42696"/>
    <x v="3"/>
    <n v="313104"/>
    <n v="16604"/>
    <x v="1"/>
    <n v="5.6000000000000001E-2"/>
    <n v="5930"/>
    <n v="290570"/>
    <n v="5"/>
  </r>
  <r>
    <x v="8"/>
    <x v="1"/>
    <x v="4"/>
    <x v="3"/>
    <x v="1"/>
    <n v="260"/>
    <n v="618750"/>
    <x v="6"/>
    <n v="2475"/>
    <n v="742500"/>
    <n v="111375"/>
    <x v="3"/>
    <n v="631125"/>
    <n v="12375"/>
    <x v="1"/>
    <n v="0.02"/>
    <n v="643500"/>
    <n v="-24750"/>
    <n v="250"/>
  </r>
  <r>
    <x v="3"/>
    <x v="5"/>
    <x v="4"/>
    <x v="4"/>
    <x v="0"/>
    <n v="250"/>
    <n v="500250"/>
    <x v="6"/>
    <n v="2001"/>
    <n v="600300"/>
    <n v="0"/>
    <x v="0"/>
    <n v="600300"/>
    <n v="100050"/>
    <x v="1"/>
    <n v="0.2"/>
    <n v="500250"/>
    <n v="0"/>
    <n v="250"/>
  </r>
  <r>
    <x v="14"/>
    <x v="0"/>
    <x v="4"/>
    <x v="4"/>
    <x v="0"/>
    <n v="10"/>
    <n v="479000"/>
    <x v="6"/>
    <n v="1916"/>
    <n v="574800"/>
    <n v="11496"/>
    <x v="1"/>
    <n v="563304"/>
    <n v="84304"/>
    <x v="1"/>
    <n v="0.17599999999999999"/>
    <n v="19160"/>
    <n v="459840"/>
    <n v="10"/>
  </r>
  <r>
    <x v="14"/>
    <x v="1"/>
    <x v="4"/>
    <x v="4"/>
    <x v="0"/>
    <n v="260"/>
    <n v="479000"/>
    <x v="6"/>
    <n v="1916"/>
    <n v="574800"/>
    <n v="11496"/>
    <x v="1"/>
    <n v="563304"/>
    <n v="84304"/>
    <x v="1"/>
    <n v="0.17599999999999999"/>
    <n v="498160"/>
    <n v="-19160"/>
    <n v="250"/>
  </r>
  <r>
    <x v="2"/>
    <x v="5"/>
    <x v="4"/>
    <x v="4"/>
    <x v="0"/>
    <n v="250"/>
    <n v="468500"/>
    <x v="6"/>
    <n v="1874"/>
    <n v="562200"/>
    <n v="16866"/>
    <x v="1"/>
    <n v="545334"/>
    <n v="76834"/>
    <x v="1"/>
    <n v="0.16400000000000001"/>
    <n v="468500"/>
    <n v="0"/>
    <n v="250"/>
  </r>
  <r>
    <x v="12"/>
    <x v="5"/>
    <x v="4"/>
    <x v="4"/>
    <x v="0"/>
    <n v="250"/>
    <n v="609000"/>
    <x v="6"/>
    <n v="2436"/>
    <n v="730800"/>
    <n v="43848"/>
    <x v="2"/>
    <n v="686952"/>
    <n v="77952"/>
    <x v="1"/>
    <n v="0.128"/>
    <n v="609000"/>
    <n v="0"/>
    <n v="250"/>
  </r>
  <r>
    <x v="15"/>
    <x v="0"/>
    <x v="4"/>
    <x v="4"/>
    <x v="0"/>
    <n v="10"/>
    <n v="425500"/>
    <x v="6"/>
    <n v="1702"/>
    <n v="510600"/>
    <n v="35742"/>
    <x v="2"/>
    <n v="474858"/>
    <n v="49358"/>
    <x v="1"/>
    <n v="0.11600000000000001"/>
    <n v="17020"/>
    <n v="408480"/>
    <n v="10"/>
  </r>
  <r>
    <x v="0"/>
    <x v="0"/>
    <x v="4"/>
    <x v="4"/>
    <x v="0"/>
    <n v="10"/>
    <n v="351000"/>
    <x v="6"/>
    <n v="1404"/>
    <n v="421200"/>
    <n v="29484"/>
    <x v="2"/>
    <n v="391716"/>
    <n v="40716"/>
    <x v="1"/>
    <n v="0.11600000000000001"/>
    <n v="14040"/>
    <n v="336960"/>
    <n v="10"/>
  </r>
  <r>
    <x v="4"/>
    <x v="3"/>
    <x v="4"/>
    <x v="4"/>
    <x v="0"/>
    <n v="5"/>
    <n v="320750"/>
    <x v="6"/>
    <n v="1283"/>
    <n v="384900"/>
    <n v="30792"/>
    <x v="2"/>
    <n v="354108"/>
    <n v="33358"/>
    <x v="1"/>
    <n v="0.104"/>
    <n v="6415"/>
    <n v="314335"/>
    <n v="5"/>
  </r>
  <r>
    <x v="6"/>
    <x v="5"/>
    <x v="4"/>
    <x v="4"/>
    <x v="0"/>
    <n v="250"/>
    <n v="533500"/>
    <x v="6"/>
    <n v="2134"/>
    <n v="640200"/>
    <n v="51216"/>
    <x v="2"/>
    <n v="588984"/>
    <n v="55484"/>
    <x v="1"/>
    <n v="0.104"/>
    <n v="533500"/>
    <n v="0"/>
    <n v="250"/>
  </r>
  <r>
    <x v="5"/>
    <x v="2"/>
    <x v="4"/>
    <x v="4"/>
    <x v="0"/>
    <n v="3"/>
    <n v="273500"/>
    <x v="6"/>
    <n v="1094"/>
    <n v="328200"/>
    <n v="29538"/>
    <x v="2"/>
    <n v="298662"/>
    <n v="25162"/>
    <x v="1"/>
    <n v="9.1999999999999998E-2"/>
    <n v="3282"/>
    <n v="270218"/>
    <n v="3"/>
  </r>
  <r>
    <x v="1"/>
    <x v="3"/>
    <x v="4"/>
    <x v="4"/>
    <x v="0"/>
    <n v="5"/>
    <n v="950625"/>
    <x v="6"/>
    <n v="3802.5"/>
    <n v="1140750"/>
    <n v="102667.5"/>
    <x v="2"/>
    <n v="1038082.5"/>
    <n v="87457.5"/>
    <x v="1"/>
    <n v="9.1999999999999998E-2"/>
    <n v="19012.5"/>
    <n v="931612.5"/>
    <n v="5"/>
  </r>
  <r>
    <x v="5"/>
    <x v="0"/>
    <x v="4"/>
    <x v="4"/>
    <x v="0"/>
    <n v="10"/>
    <n v="273500"/>
    <x v="6"/>
    <n v="1094"/>
    <n v="328200"/>
    <n v="29538"/>
    <x v="2"/>
    <n v="298662"/>
    <n v="25162"/>
    <x v="1"/>
    <n v="9.1999999999999998E-2"/>
    <n v="10940"/>
    <n v="262560"/>
    <n v="10"/>
  </r>
  <r>
    <x v="7"/>
    <x v="4"/>
    <x v="4"/>
    <x v="4"/>
    <x v="0"/>
    <n v="120"/>
    <n v="948375"/>
    <x v="6"/>
    <n v="3793.5"/>
    <n v="1138050"/>
    <n v="102424.5"/>
    <x v="2"/>
    <n v="1035625.5"/>
    <n v="87250.5"/>
    <x v="1"/>
    <n v="9.1999999999999998E-2"/>
    <n v="455220"/>
    <n v="493155"/>
    <n v="120"/>
  </r>
  <r>
    <x v="10"/>
    <x v="0"/>
    <x v="4"/>
    <x v="4"/>
    <x v="0"/>
    <n v="10"/>
    <n v="218250"/>
    <x v="6"/>
    <n v="873"/>
    <n v="261900"/>
    <n v="28809"/>
    <x v="3"/>
    <n v="233091"/>
    <n v="14841"/>
    <x v="1"/>
    <n v="6.8000000000000005E-2"/>
    <n v="8730"/>
    <n v="209520"/>
    <n v="10"/>
  </r>
  <r>
    <x v="9"/>
    <x v="0"/>
    <x v="4"/>
    <x v="4"/>
    <x v="0"/>
    <n v="10"/>
    <n v="341500"/>
    <x v="6"/>
    <n v="1366"/>
    <n v="409800"/>
    <n v="45078"/>
    <x v="3"/>
    <n v="364722"/>
    <n v="23222"/>
    <x v="1"/>
    <n v="6.8000000000000005E-2"/>
    <n v="13660"/>
    <n v="327840"/>
    <n v="10"/>
  </r>
  <r>
    <x v="13"/>
    <x v="2"/>
    <x v="4"/>
    <x v="4"/>
    <x v="0"/>
    <n v="3"/>
    <n v="374000"/>
    <x v="6"/>
    <n v="1496"/>
    <n v="448800"/>
    <n v="62832"/>
    <x v="3"/>
    <n v="385968"/>
    <n v="11968"/>
    <x v="1"/>
    <n v="3.2000000000000001E-2"/>
    <n v="4488"/>
    <n v="369512"/>
    <n v="3"/>
  </r>
  <r>
    <x v="11"/>
    <x v="4"/>
    <x v="4"/>
    <x v="4"/>
    <x v="0"/>
    <n v="120"/>
    <n v="67250"/>
    <x v="6"/>
    <n v="269"/>
    <n v="80700"/>
    <n v="11298"/>
    <x v="3"/>
    <n v="69402"/>
    <n v="2152"/>
    <x v="1"/>
    <n v="3.2000000000000001E-2"/>
    <n v="32280"/>
    <n v="34970"/>
    <n v="120"/>
  </r>
  <r>
    <x v="11"/>
    <x v="5"/>
    <x v="4"/>
    <x v="4"/>
    <x v="0"/>
    <n v="250"/>
    <n v="67250"/>
    <x v="6"/>
    <n v="269"/>
    <n v="80700"/>
    <n v="11298"/>
    <x v="3"/>
    <n v="69402"/>
    <n v="2152"/>
    <x v="1"/>
    <n v="3.2000000000000001E-2"/>
    <n v="67250"/>
    <n v="0"/>
    <n v="250"/>
  </r>
  <r>
    <x v="13"/>
    <x v="5"/>
    <x v="4"/>
    <x v="4"/>
    <x v="0"/>
    <n v="250"/>
    <n v="374000"/>
    <x v="6"/>
    <n v="1496"/>
    <n v="448800"/>
    <n v="62832"/>
    <x v="3"/>
    <n v="385968"/>
    <n v="11968"/>
    <x v="1"/>
    <n v="3.2000000000000001E-2"/>
    <n v="374000"/>
    <n v="0"/>
    <n v="250"/>
  </r>
  <r>
    <x v="8"/>
    <x v="1"/>
    <x v="4"/>
    <x v="4"/>
    <x v="0"/>
    <n v="260"/>
    <n v="222000"/>
    <x v="6"/>
    <n v="888"/>
    <n v="266400"/>
    <n v="37296"/>
    <x v="3"/>
    <n v="229104"/>
    <n v="7104"/>
    <x v="1"/>
    <n v="3.2000000000000001E-2"/>
    <n v="230880"/>
    <n v="-8880"/>
    <n v="25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s v="None"/>
    <n v="1618.5"/>
    <n v="3"/>
    <n v="20"/>
    <n v="32370"/>
    <m/>
    <n v="32370"/>
    <n v="16185"/>
    <d v="2014-01-01T00:00:00"/>
    <n v="32370"/>
  </r>
  <r>
    <x v="1"/>
    <s v="None"/>
    <n v="1321"/>
    <n v="3"/>
    <n v="20"/>
    <n v="26420"/>
    <m/>
    <n v="26420"/>
    <n v="13210"/>
    <d v="2014-01-01T00:00:00"/>
    <n v="26420"/>
  </r>
  <r>
    <x v="2"/>
    <s v="None"/>
    <n v="2178"/>
    <n v="3"/>
    <n v="15"/>
    <n v="32670"/>
    <m/>
    <n v="32670"/>
    <n v="21780"/>
    <d v="2014-01-06T00:00:00"/>
    <n v="32670"/>
  </r>
  <r>
    <x v="3"/>
    <s v="None"/>
    <n v="888"/>
    <n v="3"/>
    <n v="15"/>
    <n v="13320"/>
    <m/>
    <n v="13320"/>
    <n v="8880"/>
    <d v="2014-01-06T00:00:00"/>
    <n v="13320"/>
  </r>
  <r>
    <x v="4"/>
    <s v="None"/>
    <n v="2470"/>
    <n v="3"/>
    <n v="15"/>
    <n v="37050"/>
    <m/>
    <n v="37050"/>
    <n v="24700"/>
    <d v="2014-01-06T00:00:00"/>
    <n v="37050"/>
  </r>
  <r>
    <x v="1"/>
    <s v="None"/>
    <n v="1513"/>
    <n v="3"/>
    <n v="350"/>
    <s v=" $5,29,550.00 "/>
    <m/>
    <s v=" $5,29,550.00 "/>
    <s v=" $3,93,380.00 "/>
    <d v="2014-01-12T00:00:00"/>
    <n v="529550"/>
  </r>
  <r>
    <x v="5"/>
    <s v="None"/>
    <n v="921"/>
    <n v="5"/>
    <n v="15"/>
    <n v="13815"/>
    <m/>
    <n v="13815"/>
    <n v="9210"/>
    <d v="2014-01-03T00:00:00"/>
    <n v="13815"/>
  </r>
  <r>
    <x v="6"/>
    <s v="None"/>
    <n v="2518"/>
    <n v="5"/>
    <n v="12"/>
    <n v="30216"/>
    <m/>
    <n v="30216"/>
    <n v="7554"/>
    <d v="2014-01-06T00:00:00"/>
    <n v="30216"/>
  </r>
  <r>
    <x v="7"/>
    <s v="None"/>
    <n v="1899"/>
    <n v="5"/>
    <n v="20"/>
    <n v="37980"/>
    <m/>
    <n v="37980"/>
    <n v="18990"/>
    <d v="2014-01-06T00:00:00"/>
    <n v="37980"/>
  </r>
  <r>
    <x v="8"/>
    <s v="None"/>
    <n v="1545"/>
    <n v="5"/>
    <n v="12"/>
    <n v="18540"/>
    <m/>
    <n v="18540"/>
    <n v="4635"/>
    <d v="2014-01-06T00:00:00"/>
    <n v="18540"/>
  </r>
  <r>
    <x v="9"/>
    <s v="None"/>
    <n v="2470"/>
    <n v="5"/>
    <n v="15"/>
    <n v="37050"/>
    <m/>
    <n v="37050"/>
    <n v="24700"/>
    <d v="2014-01-06T00:00:00"/>
    <n v="37050"/>
  </r>
  <r>
    <x v="10"/>
    <s v="None"/>
    <n v="2665.5"/>
    <n v="5"/>
    <n v="125"/>
    <s v=" $3,33,187.50 "/>
    <m/>
    <s v=" $3,33,187.50 "/>
    <s v=" $3,19,860.00 "/>
    <d v="2014-01-07T00:00:00"/>
    <n v="333187.5"/>
  </r>
  <r>
    <x v="11"/>
    <s v="None"/>
    <n v="958"/>
    <n v="5"/>
    <n v="300"/>
    <s v=" $2,87,400.00 "/>
    <m/>
    <s v=" $2,87,400.00 "/>
    <s v=" $2,39,500.00 "/>
    <d v="2014-01-08T00:00:00"/>
    <n v="287400"/>
  </r>
  <r>
    <x v="12"/>
    <s v="None"/>
    <n v="2146"/>
    <n v="5"/>
    <n v="7"/>
    <n v="15022"/>
    <m/>
    <n v="15022"/>
    <n v="10730"/>
    <d v="2014-01-09T00:00:00"/>
    <n v="15022"/>
  </r>
  <r>
    <x v="10"/>
    <s v="None"/>
    <n v="345"/>
    <n v="5"/>
    <n v="125"/>
    <n v="43125"/>
    <m/>
    <n v="43125"/>
    <n v="41400"/>
    <d v="2013-01-10T00:00:00"/>
    <n v="43125"/>
  </r>
  <r>
    <x v="13"/>
    <s v="None"/>
    <n v="615"/>
    <n v="5"/>
    <n v="15"/>
    <n v="9225"/>
    <m/>
    <n v="9225"/>
    <n v="6150"/>
    <d v="2014-01-12T00:00:00"/>
    <n v="9225"/>
  </r>
  <r>
    <x v="14"/>
    <s v="None"/>
    <n v="292"/>
    <n v="10"/>
    <n v="20"/>
    <n v="5840"/>
    <m/>
    <n v="5840"/>
    <n v="2920"/>
    <d v="2014-01-02T00:00:00"/>
    <n v="5840"/>
  </r>
  <r>
    <x v="15"/>
    <s v="None"/>
    <n v="974"/>
    <n v="10"/>
    <n v="15"/>
    <n v="14610"/>
    <m/>
    <n v="14610"/>
    <n v="9740"/>
    <d v="2014-01-02T00:00:00"/>
    <n v="14610"/>
  </r>
  <r>
    <x v="16"/>
    <s v="None"/>
    <n v="2518"/>
    <n v="10"/>
    <n v="12"/>
    <n v="30216"/>
    <m/>
    <n v="30216"/>
    <n v="7554"/>
    <d v="2014-01-06T00:00:00"/>
    <n v="30216"/>
  </r>
  <r>
    <x v="17"/>
    <s v="None"/>
    <n v="1006"/>
    <n v="10"/>
    <n v="350"/>
    <s v=" $3,52,100.00 "/>
    <m/>
    <s v=" $3,52,100.00 "/>
    <s v=" $2,61,560.00 "/>
    <d v="2014-01-06T00:00:00"/>
    <n v="352100"/>
  </r>
  <r>
    <x v="18"/>
    <s v="None"/>
    <n v="367"/>
    <n v="10"/>
    <n v="12"/>
    <n v="4404"/>
    <m/>
    <n v="4404"/>
    <n v="1101"/>
    <d v="2014-01-07T00:00:00"/>
    <n v="4404"/>
  </r>
  <r>
    <x v="19"/>
    <s v="None"/>
    <n v="883"/>
    <n v="10"/>
    <n v="7"/>
    <n v="6181"/>
    <m/>
    <n v="6181"/>
    <n v="4415"/>
    <d v="2014-01-08T00:00:00"/>
    <n v="6181"/>
  </r>
  <r>
    <x v="20"/>
    <s v="None"/>
    <n v="549"/>
    <n v="10"/>
    <n v="15"/>
    <n v="8235"/>
    <m/>
    <n v="8235"/>
    <n v="5490"/>
    <d v="2013-01-09T00:00:00"/>
    <n v="8235"/>
  </r>
  <r>
    <x v="21"/>
    <s v="None"/>
    <n v="788"/>
    <n v="10"/>
    <n v="300"/>
    <s v=" $2,36,400.00 "/>
    <m/>
    <s v=" $2,36,400.00 "/>
    <s v=" $1,97,000.00 "/>
    <d v="2013-01-09T00:00:00"/>
    <n v="236400"/>
  </r>
  <r>
    <x v="15"/>
    <s v="None"/>
    <n v="2472"/>
    <n v="10"/>
    <n v="15"/>
    <n v="37080"/>
    <m/>
    <n v="37080"/>
    <n v="24720"/>
    <d v="2014-01-09T00:00:00"/>
    <n v="37080"/>
  </r>
  <r>
    <x v="22"/>
    <s v="None"/>
    <n v="1143"/>
    <n v="10"/>
    <n v="7"/>
    <n v="8001"/>
    <m/>
    <n v="8001"/>
    <n v="5715"/>
    <d v="2014-01-10T00:00:00"/>
    <n v="8001"/>
  </r>
  <r>
    <x v="14"/>
    <s v="None"/>
    <n v="1725"/>
    <n v="10"/>
    <n v="350"/>
    <s v=" $6,03,750.00 "/>
    <m/>
    <s v=" $6,03,750.00 "/>
    <s v=" $4,48,500.00 "/>
    <d v="2013-01-11T00:00:00"/>
    <n v="603750"/>
  </r>
  <r>
    <x v="23"/>
    <s v="None"/>
    <n v="912"/>
    <n v="10"/>
    <n v="12"/>
    <n v="10944"/>
    <m/>
    <n v="10944"/>
    <n v="2736"/>
    <d v="2013-01-11T00:00:00"/>
    <n v="10944"/>
  </r>
  <r>
    <x v="24"/>
    <s v="None"/>
    <n v="2152"/>
    <n v="10"/>
    <n v="15"/>
    <n v="32280"/>
    <m/>
    <n v="32280"/>
    <n v="21520"/>
    <d v="2013-01-12T00:00:00"/>
    <n v="32280"/>
  </r>
  <r>
    <x v="14"/>
    <s v="None"/>
    <n v="1817"/>
    <n v="10"/>
    <n v="20"/>
    <n v="36340"/>
    <m/>
    <n v="36340"/>
    <n v="18170"/>
    <d v="2014-01-12T00:00:00"/>
    <n v="36340"/>
  </r>
  <r>
    <x v="17"/>
    <s v="None"/>
    <n v="1513"/>
    <n v="10"/>
    <n v="350"/>
    <s v=" $5,29,550.00 "/>
    <m/>
    <s v=" $5,29,550.00 "/>
    <s v=" $3,93,380.00 "/>
    <d v="2014-01-12T00:00:00"/>
    <n v="529550"/>
  </r>
  <r>
    <x v="25"/>
    <s v="None"/>
    <n v="1493"/>
    <n v="120"/>
    <n v="7"/>
    <n v="10451"/>
    <m/>
    <n v="10451"/>
    <n v="7465"/>
    <d v="2014-01-01T00:00:00"/>
    <n v="10451"/>
  </r>
  <r>
    <x v="26"/>
    <s v="None"/>
    <n v="1804"/>
    <n v="120"/>
    <n v="125"/>
    <s v=" $2,25,500.00 "/>
    <m/>
    <s v=" $2,25,500.00 "/>
    <s v=" $2,16,480.00 "/>
    <d v="2014-01-02T00:00:00"/>
    <n v="225500"/>
  </r>
  <r>
    <x v="27"/>
    <s v="None"/>
    <n v="2161"/>
    <n v="120"/>
    <n v="12"/>
    <n v="25932"/>
    <m/>
    <n v="25932"/>
    <n v="6483"/>
    <d v="2014-01-03T00:00:00"/>
    <n v="25932"/>
  </r>
  <r>
    <x v="28"/>
    <s v="None"/>
    <n v="1006"/>
    <n v="120"/>
    <n v="350"/>
    <s v=" $3,52,100.00 "/>
    <m/>
    <s v=" $3,52,100.00 "/>
    <s v=" $2,61,560.00 "/>
    <d v="2014-01-06T00:00:00"/>
    <n v="352100"/>
  </r>
  <r>
    <x v="27"/>
    <s v="None"/>
    <n v="1545"/>
    <n v="120"/>
    <n v="12"/>
    <n v="18540"/>
    <m/>
    <n v="18540"/>
    <n v="4635"/>
    <d v="2014-01-06T00:00:00"/>
    <n v="18540"/>
  </r>
  <r>
    <x v="29"/>
    <s v="None"/>
    <n v="2821"/>
    <n v="120"/>
    <n v="125"/>
    <s v=" $3,52,625.00 "/>
    <m/>
    <s v=" $3,52,625.00 "/>
    <s v=" $3,38,520.00 "/>
    <d v="2014-01-08T00:00:00"/>
    <n v="352625"/>
  </r>
  <r>
    <x v="30"/>
    <s v="None"/>
    <n v="345"/>
    <n v="120"/>
    <n v="125"/>
    <n v="43125"/>
    <m/>
    <n v="43125"/>
    <n v="41400"/>
    <d v="2013-01-10T00:00:00"/>
    <n v="43125"/>
  </r>
  <r>
    <x v="31"/>
    <s v="None"/>
    <n v="2001"/>
    <n v="250"/>
    <n v="300"/>
    <s v=" $6,00,300.00 "/>
    <m/>
    <s v=" $6,00,300.00 "/>
    <s v=" $5,00,250.00 "/>
    <d v="2014-01-02T00:00:00"/>
    <n v="600300"/>
  </r>
  <r>
    <x v="32"/>
    <s v="None"/>
    <n v="2838"/>
    <n v="250"/>
    <n v="12"/>
    <n v="34056"/>
    <m/>
    <n v="34056"/>
    <n v="8514"/>
    <d v="2014-01-04T00:00:00"/>
    <n v="34056"/>
  </r>
  <r>
    <x v="33"/>
    <s v="None"/>
    <n v="2178"/>
    <n v="250"/>
    <n v="15"/>
    <n v="32670"/>
    <m/>
    <n v="32670"/>
    <n v="21780"/>
    <d v="2014-01-06T00:00:00"/>
    <n v="32670"/>
  </r>
  <r>
    <x v="34"/>
    <s v="None"/>
    <n v="888"/>
    <n v="250"/>
    <n v="15"/>
    <n v="13320"/>
    <m/>
    <n v="13320"/>
    <n v="8880"/>
    <d v="2014-01-06T00:00:00"/>
    <n v="13320"/>
  </r>
  <r>
    <x v="35"/>
    <s v="None"/>
    <n v="1527"/>
    <n v="250"/>
    <n v="350"/>
    <s v=" $5,34,450.00 "/>
    <m/>
    <s v=" $5,34,450.00 "/>
    <s v=" $3,97,020.00 "/>
    <d v="2013-01-09T00:00:00"/>
    <n v="534450"/>
  </r>
  <r>
    <x v="36"/>
    <s v="None"/>
    <n v="2151"/>
    <n v="250"/>
    <n v="300"/>
    <s v=" $6,45,300.00 "/>
    <m/>
    <s v=" $6,45,300.00 "/>
    <s v=" $5,37,750.00 "/>
    <d v="2014-01-09T00:00:00"/>
    <n v="645300"/>
  </r>
  <r>
    <x v="37"/>
    <s v="None"/>
    <n v="1817"/>
    <n v="250"/>
    <n v="20"/>
    <n v="36340"/>
    <m/>
    <n v="36340"/>
    <n v="18170"/>
    <d v="2014-01-12T00:00:00"/>
    <n v="36340"/>
  </r>
  <r>
    <x v="38"/>
    <s v="None"/>
    <n v="2750"/>
    <n v="260"/>
    <n v="350"/>
    <s v=" $9,62,500.00 "/>
    <m/>
    <s v=" $9,62,500.00 "/>
    <s v=" $7,15,000.00 "/>
    <d v="2014-01-02T00:00:00"/>
    <n v="962500"/>
  </r>
  <r>
    <x v="39"/>
    <s v="None"/>
    <n v="1953"/>
    <n v="260"/>
    <n v="12"/>
    <n v="23436"/>
    <m/>
    <n v="23436"/>
    <n v="5859"/>
    <d v="2014-01-04T00:00:00"/>
    <n v="23436"/>
  </r>
  <r>
    <x v="40"/>
    <s v="None"/>
    <n v="4219.5"/>
    <n v="260"/>
    <n v="125"/>
    <s v=" $5,27,437.50 "/>
    <m/>
    <s v=" $5,27,437.50 "/>
    <s v=" $5,06,340.00 "/>
    <d v="2014-01-04T00:00:00"/>
    <n v="527437.5"/>
  </r>
  <r>
    <x v="38"/>
    <s v="None"/>
    <n v="1899"/>
    <n v="260"/>
    <n v="20"/>
    <n v="37980"/>
    <m/>
    <n v="37980"/>
    <n v="18990"/>
    <d v="2014-01-06T00:00:00"/>
    <n v="37980"/>
  </r>
  <r>
    <x v="41"/>
    <s v="None"/>
    <n v="1686"/>
    <n v="260"/>
    <n v="7"/>
    <n v="11802"/>
    <m/>
    <n v="11802"/>
    <n v="8430"/>
    <d v="2014-01-07T00:00:00"/>
    <n v="11802"/>
  </r>
  <r>
    <x v="39"/>
    <s v="None"/>
    <n v="2141"/>
    <n v="260"/>
    <n v="12"/>
    <n v="25692"/>
    <m/>
    <n v="25692"/>
    <n v="6423"/>
    <d v="2014-01-08T00:00:00"/>
    <n v="25692"/>
  </r>
  <r>
    <x v="42"/>
    <s v="None"/>
    <n v="1143"/>
    <n v="260"/>
    <n v="7"/>
    <n v="8001"/>
    <m/>
    <n v="8001"/>
    <n v="5715"/>
    <d v="2014-01-10T00:00:00"/>
    <n v="8001"/>
  </r>
  <r>
    <x v="43"/>
    <s v="None"/>
    <n v="615"/>
    <n v="260"/>
    <n v="15"/>
    <n v="9225"/>
    <m/>
    <n v="9225"/>
    <n v="6150"/>
    <d v="2014-01-12T00:00:00"/>
    <n v="9225"/>
  </r>
  <r>
    <x v="44"/>
    <s v="Low"/>
    <n v="3945"/>
    <n v="10"/>
    <n v="7"/>
    <n v="27615"/>
    <s v="$276.15"/>
    <n v="27338.85"/>
    <n v="19725"/>
    <d v="2014-01-01T00:00:00"/>
    <n v="27338.85"/>
  </r>
  <r>
    <x v="20"/>
    <s v="Low"/>
    <n v="2296"/>
    <n v="10"/>
    <n v="15"/>
    <n v="34440"/>
    <s v="$344.40"/>
    <n v="34095.599999999999"/>
    <n v="22960"/>
    <d v="2014-01-02T00:00:00"/>
    <n v="34095.599999999999"/>
  </r>
  <r>
    <x v="44"/>
    <s v="Low"/>
    <n v="1030"/>
    <n v="10"/>
    <n v="7"/>
    <n v="7210"/>
    <s v="$72.10"/>
    <n v="7137.9"/>
    <n v="5150"/>
    <d v="2014-01-05T00:00:00"/>
    <n v="7137.9"/>
  </r>
  <r>
    <x v="45"/>
    <s v="Low"/>
    <n v="639"/>
    <n v="120"/>
    <n v="7"/>
    <n v="4473"/>
    <s v="$44.73"/>
    <n v="4428.2700000000004"/>
    <n v="3195"/>
    <d v="2014-01-11T00:00:00"/>
    <n v="4428.2700000000004"/>
  </r>
  <r>
    <x v="37"/>
    <s v="Low"/>
    <n v="1326"/>
    <n v="250"/>
    <n v="7"/>
    <n v="9282"/>
    <s v="$92.82"/>
    <n v="9189.18"/>
    <n v="6630"/>
    <d v="2014-01-03T00:00:00"/>
    <n v="9189.18"/>
  </r>
  <r>
    <x v="46"/>
    <s v="Low"/>
    <n v="1858"/>
    <n v="3"/>
    <n v="12"/>
    <n v="22296"/>
    <s v="$222.96"/>
    <n v="22073.040000000001"/>
    <n v="5574"/>
    <d v="2014-01-02T00:00:00"/>
    <n v="22073.040000000001"/>
  </r>
  <r>
    <x v="47"/>
    <s v="Low"/>
    <n v="1210"/>
    <n v="3"/>
    <n v="350"/>
    <s v=" $4,23,500.00 "/>
    <s v="$4,235.00"/>
    <s v=" $4,19,265.00 "/>
    <s v=" $3,14,600.00 "/>
    <d v="2014-01-03T00:00:00"/>
    <n v="419265"/>
  </r>
  <r>
    <x v="48"/>
    <s v="Low"/>
    <n v="2529"/>
    <n v="3"/>
    <n v="7"/>
    <n v="17703"/>
    <s v="$177.03"/>
    <n v="17525.97"/>
    <n v="12645"/>
    <d v="2014-01-07T00:00:00"/>
    <n v="17525.97"/>
  </r>
  <r>
    <x v="49"/>
    <s v="Low"/>
    <n v="1445"/>
    <n v="3"/>
    <n v="12"/>
    <n v="17340"/>
    <s v="$173.40"/>
    <n v="17166.599999999999"/>
    <n v="4335"/>
    <d v="2014-01-09T00:00:00"/>
    <n v="17166.599999999999"/>
  </r>
  <r>
    <x v="50"/>
    <s v="Low"/>
    <n v="330"/>
    <n v="3"/>
    <n v="125"/>
    <n v="41250"/>
    <s v="$412.50"/>
    <n v="40837.5"/>
    <n v="39600"/>
    <d v="2013-01-09T00:00:00"/>
    <n v="40837.5"/>
  </r>
  <r>
    <x v="51"/>
    <s v="Low"/>
    <n v="2671"/>
    <n v="3"/>
    <n v="12"/>
    <n v="32052"/>
    <s v="$320.52"/>
    <n v="31731.48"/>
    <n v="8013"/>
    <d v="2014-01-09T00:00:00"/>
    <n v="31731.48"/>
  </r>
  <r>
    <x v="52"/>
    <s v="Low"/>
    <n v="766"/>
    <n v="3"/>
    <n v="12"/>
    <n v="9192"/>
    <s v="$91.92"/>
    <n v="9100.08"/>
    <n v="2298"/>
    <d v="2013-01-10T00:00:00"/>
    <n v="9100.08"/>
  </r>
  <r>
    <x v="53"/>
    <s v="Low"/>
    <n v="494"/>
    <n v="3"/>
    <n v="300"/>
    <s v=" $1,48,200.00 "/>
    <s v="$1,482.00"/>
    <s v=" $1,46,718.00 "/>
    <s v=" $1,23,500.00 "/>
    <d v="2013-01-10T00:00:00"/>
    <n v="146718"/>
  </r>
  <r>
    <x v="47"/>
    <s v="Low"/>
    <n v="1397"/>
    <n v="3"/>
    <n v="350"/>
    <s v=" $4,88,950.00 "/>
    <s v="$4,889.50"/>
    <s v=" $4,84,060.50 "/>
    <s v=" $3,63,220.00 "/>
    <d v="2014-01-10T00:00:00"/>
    <n v="484060.5"/>
  </r>
  <r>
    <x v="54"/>
    <s v="Low"/>
    <n v="2155"/>
    <n v="3"/>
    <n v="350"/>
    <s v=" $7,54,250.00 "/>
    <s v="$7,542.50"/>
    <s v=" $7,46,707.50 "/>
    <s v=" $5,60,300.00 "/>
    <d v="2014-01-12T00:00:00"/>
    <n v="746707.5"/>
  </r>
  <r>
    <x v="9"/>
    <s v="Low"/>
    <n v="2214"/>
    <n v="5"/>
    <n v="15"/>
    <n v="33210"/>
    <s v="$332.10"/>
    <n v="32877.9"/>
    <n v="22140"/>
    <d v="2014-01-03T00:00:00"/>
    <n v="32877.9"/>
  </r>
  <r>
    <x v="55"/>
    <s v="Low"/>
    <n v="2301"/>
    <n v="5"/>
    <n v="300"/>
    <s v=" $6,90,300.00 "/>
    <s v="$6,903.00"/>
    <s v=" $6,83,397.00 "/>
    <s v=" $5,75,250.00 "/>
    <d v="2014-01-04T00:00:00"/>
    <n v="683397"/>
  </r>
  <r>
    <x v="7"/>
    <s v="Low"/>
    <n v="1375.5"/>
    <n v="5"/>
    <n v="20"/>
    <n v="27510"/>
    <s v="$275.10"/>
    <n v="27234.9"/>
    <n v="13755"/>
    <d v="2014-01-07T00:00:00"/>
    <n v="27234.9"/>
  </r>
  <r>
    <x v="56"/>
    <s v="Low"/>
    <n v="1830"/>
    <n v="5"/>
    <n v="7"/>
    <n v="12810"/>
    <s v="$128.10"/>
    <n v="12681.9"/>
    <n v="9150"/>
    <d v="2014-01-08T00:00:00"/>
    <n v="12681.9"/>
  </r>
  <r>
    <x v="55"/>
    <s v="Low"/>
    <n v="2498"/>
    <n v="5"/>
    <n v="300"/>
    <s v=" $7,49,400.00 "/>
    <s v="$7,494.00"/>
    <s v=" $7,41,906.00 "/>
    <s v=" $6,24,500.00 "/>
    <d v="2013-01-09T00:00:00"/>
    <n v="741906"/>
  </r>
  <r>
    <x v="57"/>
    <s v="Low"/>
    <n v="663"/>
    <n v="5"/>
    <n v="125"/>
    <n v="82875"/>
    <s v="$828.75"/>
    <n v="82046.25"/>
    <n v="79560"/>
    <d v="2013-01-10T00:00:00"/>
    <n v="82046.25"/>
  </r>
  <r>
    <x v="58"/>
    <s v="Low"/>
    <n v="1514"/>
    <n v="10"/>
    <n v="15"/>
    <n v="22710"/>
    <s v="$227.10"/>
    <n v="22482.9"/>
    <n v="15140"/>
    <d v="2014-01-02T00:00:00"/>
    <n v="22482.9"/>
  </r>
  <r>
    <x v="22"/>
    <s v="Low"/>
    <n v="4492.5"/>
    <n v="10"/>
    <n v="7"/>
    <n v="31447.5"/>
    <s v="$314.48"/>
    <n v="31133.03"/>
    <n v="22462.5"/>
    <d v="2014-01-04T00:00:00"/>
    <n v="31133.03"/>
  </r>
  <r>
    <x v="59"/>
    <s v="Low"/>
    <n v="727"/>
    <n v="10"/>
    <n v="125"/>
    <n v="90875"/>
    <s v="$908.75"/>
    <n v="89966.25"/>
    <n v="87240"/>
    <d v="2014-01-06T00:00:00"/>
    <n v="89966.25"/>
  </r>
  <r>
    <x v="60"/>
    <s v="Low"/>
    <n v="787"/>
    <n v="10"/>
    <n v="125"/>
    <n v="98375"/>
    <s v="$983.75"/>
    <n v="97391.25"/>
    <n v="94440"/>
    <d v="2014-01-06T00:00:00"/>
    <n v="97391.25"/>
  </r>
  <r>
    <x v="61"/>
    <s v="Low"/>
    <n v="1823"/>
    <n v="10"/>
    <n v="125"/>
    <s v=" $2,27,875.00 "/>
    <s v="$2,278.75"/>
    <s v=" $2,25,596.25 "/>
    <s v=" $2,18,760.00 "/>
    <d v="2014-01-07T00:00:00"/>
    <n v="225596.25"/>
  </r>
  <r>
    <x v="62"/>
    <s v="Low"/>
    <n v="747"/>
    <n v="10"/>
    <n v="15"/>
    <n v="11205"/>
    <s v="$112.05"/>
    <n v="11092.95"/>
    <n v="7470"/>
    <d v="2014-01-09T00:00:00"/>
    <n v="11092.95"/>
  </r>
  <r>
    <x v="18"/>
    <s v="Low"/>
    <n v="766"/>
    <n v="10"/>
    <n v="12"/>
    <n v="9192"/>
    <s v="$91.92"/>
    <n v="9100.08"/>
    <n v="2298"/>
    <d v="2013-01-10T00:00:00"/>
    <n v="9100.08"/>
  </r>
  <r>
    <x v="63"/>
    <s v="Low"/>
    <n v="2905"/>
    <n v="10"/>
    <n v="300"/>
    <s v=" $8,71,500.00 "/>
    <s v="$8,715.00"/>
    <s v=" $8,62,785.00 "/>
    <s v=" $7,26,250.00 "/>
    <d v="2014-01-11T00:00:00"/>
    <n v="862785"/>
  </r>
  <r>
    <x v="44"/>
    <s v="Low"/>
    <n v="2155"/>
    <n v="10"/>
    <n v="350"/>
    <s v=" $7,54,250.00 "/>
    <s v="$7,542.50"/>
    <s v=" $7,46,707.50 "/>
    <s v=" $5,60,300.00 "/>
    <d v="2014-01-12T00:00:00"/>
    <n v="746707.5"/>
  </r>
  <r>
    <x v="45"/>
    <s v="Low"/>
    <n v="3864"/>
    <n v="120"/>
    <n v="20"/>
    <n v="77280"/>
    <s v="$772.80"/>
    <n v="76507.199999999997"/>
    <n v="38640"/>
    <d v="2014-01-04T00:00:00"/>
    <n v="76507.199999999997"/>
  </r>
  <r>
    <x v="25"/>
    <s v="Low"/>
    <n v="362"/>
    <n v="120"/>
    <n v="7"/>
    <n v="2534"/>
    <s v="$25.34"/>
    <n v="2508.66"/>
    <n v="1810"/>
    <d v="2014-01-05T00:00:00"/>
    <n v="2508.66"/>
  </r>
  <r>
    <x v="30"/>
    <s v="Low"/>
    <n v="923"/>
    <n v="120"/>
    <n v="125"/>
    <s v=" $1,15,375.00 "/>
    <s v="$1,153.75"/>
    <s v=" $1,14,221.25 "/>
    <s v=" $1,10,760.00 "/>
    <d v="2014-01-08T00:00:00"/>
    <n v="114221.25"/>
  </r>
  <r>
    <x v="29"/>
    <s v="Low"/>
    <n v="663"/>
    <n v="120"/>
    <n v="125"/>
    <n v="82875"/>
    <s v="$828.75"/>
    <n v="82046.25"/>
    <n v="79560"/>
    <d v="2013-01-10T00:00:00"/>
    <n v="82046.25"/>
  </r>
  <r>
    <x v="64"/>
    <s v="Low"/>
    <n v="2092"/>
    <n v="120"/>
    <n v="7"/>
    <n v="14644"/>
    <s v="$146.44"/>
    <n v="14497.56"/>
    <n v="10460"/>
    <d v="2013-01-11T00:00:00"/>
    <n v="14497.56"/>
  </r>
  <r>
    <x v="65"/>
    <s v="Low"/>
    <n v="263"/>
    <n v="250"/>
    <n v="7"/>
    <n v="1841"/>
    <s v="$18.41"/>
    <n v="1822.59"/>
    <n v="1315"/>
    <d v="2014-01-03T00:00:00"/>
    <n v="1822.59"/>
  </r>
  <r>
    <x v="37"/>
    <s v="Low"/>
    <n v="943.5"/>
    <n v="250"/>
    <n v="350"/>
    <s v=" $3,30,225.00 "/>
    <s v="$3,302.25"/>
    <s v=" $3,26,922.75 "/>
    <s v=" $2,45,310.00 "/>
    <d v="2014-01-04T00:00:00"/>
    <n v="326922.75"/>
  </r>
  <r>
    <x v="66"/>
    <s v="Low"/>
    <n v="727"/>
    <n v="250"/>
    <n v="125"/>
    <n v="90875"/>
    <s v="$908.75"/>
    <n v="89966.25"/>
    <n v="87240"/>
    <d v="2014-01-06T00:00:00"/>
    <n v="89966.25"/>
  </r>
  <r>
    <x v="67"/>
    <s v="Low"/>
    <n v="787"/>
    <n v="250"/>
    <n v="125"/>
    <n v="98375"/>
    <s v="$983.75"/>
    <n v="97391.25"/>
    <n v="94440"/>
    <d v="2014-01-06T00:00:00"/>
    <n v="97391.25"/>
  </r>
  <r>
    <x v="68"/>
    <s v="Low"/>
    <n v="986"/>
    <n v="250"/>
    <n v="300"/>
    <s v=" $2,95,800.00 "/>
    <s v="$2,958.00"/>
    <s v=" $2,92,842.00 "/>
    <s v=" $2,46,500.00 "/>
    <d v="2014-01-09T00:00:00"/>
    <n v="292842"/>
  </r>
  <r>
    <x v="69"/>
    <s v="Low"/>
    <n v="494"/>
    <n v="250"/>
    <n v="300"/>
    <s v=" $1,48,200.00 "/>
    <s v="$1,482.00"/>
    <s v=" $1,46,718.00 "/>
    <s v=" $1,23,500.00 "/>
    <d v="2013-01-10T00:00:00"/>
    <n v="146718"/>
  </r>
  <r>
    <x v="70"/>
    <s v="Low"/>
    <n v="1397"/>
    <n v="250"/>
    <n v="350"/>
    <s v=" $4,88,950.00 "/>
    <s v="$4,889.50"/>
    <s v=" $4,84,060.50 "/>
    <s v=" $3,63,220.00 "/>
    <d v="2014-01-10T00:00:00"/>
    <n v="484060.5"/>
  </r>
  <r>
    <x v="67"/>
    <s v="Low"/>
    <n v="1744"/>
    <n v="250"/>
    <n v="125"/>
    <s v=" $2,18,000.00 "/>
    <s v="$2,180.00"/>
    <s v=" $2,15,820.00 "/>
    <s v=" $2,09,280.00 "/>
    <d v="2014-01-11T00:00:00"/>
    <n v="215820"/>
  </r>
  <r>
    <x v="39"/>
    <s v="Low"/>
    <n v="1989"/>
    <n v="260"/>
    <n v="12"/>
    <n v="23868"/>
    <s v="$238.68"/>
    <n v="23629.32"/>
    <n v="5967"/>
    <d v="2013-01-09T00:00:00"/>
    <n v="23629.32"/>
  </r>
  <r>
    <x v="71"/>
    <s v="Low"/>
    <n v="321"/>
    <n v="260"/>
    <n v="15"/>
    <n v="4815"/>
    <s v="$48.15"/>
    <n v="4766.8500000000004"/>
    <n v="3210"/>
    <d v="2013-01-11T00:00:00"/>
    <n v="4766.8500000000004"/>
  </r>
  <r>
    <x v="72"/>
    <s v="Low"/>
    <n v="742.5"/>
    <n v="3"/>
    <n v="125"/>
    <n v="92812.5"/>
    <s v="$1,856.25"/>
    <n v="90956.25"/>
    <n v="89100"/>
    <d v="2014-01-04T00:00:00"/>
    <n v="90956.25"/>
  </r>
  <r>
    <x v="49"/>
    <s v="Low"/>
    <n v="1295"/>
    <n v="3"/>
    <n v="12"/>
    <n v="15540"/>
    <s v="$310.80"/>
    <n v="15229.2"/>
    <n v="3885"/>
    <d v="2014-01-10T00:00:00"/>
    <n v="15229.2"/>
  </r>
  <r>
    <x v="73"/>
    <s v="Low"/>
    <n v="214"/>
    <n v="3"/>
    <n v="300"/>
    <n v="64200"/>
    <s v="$1,284.00"/>
    <n v="62916"/>
    <n v="53500"/>
    <d v="2013-01-10T00:00:00"/>
    <n v="62916"/>
  </r>
  <r>
    <x v="54"/>
    <s v="Low"/>
    <n v="2145"/>
    <n v="3"/>
    <n v="7"/>
    <n v="15015"/>
    <s v="$300.30"/>
    <n v="14714.7"/>
    <n v="10725"/>
    <d v="2013-01-11T00:00:00"/>
    <n v="14714.7"/>
  </r>
  <r>
    <x v="0"/>
    <s v="Low"/>
    <n v="2852"/>
    <n v="3"/>
    <n v="350"/>
    <s v=" $9,98,200.00 "/>
    <s v="$19,964.00"/>
    <s v=" $9,78,236.00 "/>
    <s v=" $7,41,520.00 "/>
    <d v="2014-01-12T00:00:00"/>
    <n v="978236"/>
  </r>
  <r>
    <x v="74"/>
    <s v="Low"/>
    <n v="1142"/>
    <n v="5"/>
    <n v="12"/>
    <n v="13704"/>
    <s v="$274.08"/>
    <n v="13429.92"/>
    <n v="3426"/>
    <d v="2014-01-06T00:00:00"/>
    <n v="13429.92"/>
  </r>
  <r>
    <x v="75"/>
    <s v="Low"/>
    <n v="1566"/>
    <n v="5"/>
    <n v="20"/>
    <n v="31320"/>
    <s v="$626.40"/>
    <n v="30693.599999999999"/>
    <n v="15660"/>
    <d v="2014-01-10T00:00:00"/>
    <n v="30693.599999999999"/>
  </r>
  <r>
    <x v="76"/>
    <s v="Low"/>
    <n v="690"/>
    <n v="5"/>
    <n v="12"/>
    <n v="8280"/>
    <s v="$165.60"/>
    <n v="8114.4"/>
    <n v="2070"/>
    <d v="2014-01-11T00:00:00"/>
    <n v="8114.4"/>
  </r>
  <r>
    <x v="77"/>
    <s v="Low"/>
    <n v="1660"/>
    <n v="5"/>
    <n v="125"/>
    <s v=" $2,07,500.00 "/>
    <s v="$4,150.00"/>
    <s v=" $2,03,350.00 "/>
    <s v=" $1,99,200.00 "/>
    <d v="2013-01-11T00:00:00"/>
    <n v="203350"/>
  </r>
  <r>
    <x v="24"/>
    <s v="Low"/>
    <n v="2363"/>
    <n v="10"/>
    <n v="15"/>
    <n v="35445"/>
    <s v="$708.90"/>
    <n v="34736.1"/>
    <n v="23630"/>
    <d v="2014-01-02T00:00:00"/>
    <n v="34736.1"/>
  </r>
  <r>
    <x v="78"/>
    <s v="Low"/>
    <n v="918"/>
    <n v="10"/>
    <n v="300"/>
    <s v=" $2,75,400.00 "/>
    <s v="$5,508.00"/>
    <s v=" $2,69,892.00 "/>
    <s v=" $2,29,500.00 "/>
    <d v="2014-01-05T00:00:00"/>
    <n v="269892"/>
  </r>
  <r>
    <x v="79"/>
    <s v="Low"/>
    <n v="1728"/>
    <n v="10"/>
    <n v="300"/>
    <s v=" $5,18,400.00 "/>
    <s v="$10,368.00"/>
    <s v=" $5,08,032.00 "/>
    <s v=" $4,32,000.00 "/>
    <d v="2014-01-05T00:00:00"/>
    <n v="508032"/>
  </r>
  <r>
    <x v="23"/>
    <s v="Low"/>
    <n v="1142"/>
    <n v="10"/>
    <n v="12"/>
    <n v="13704"/>
    <s v="$274.08"/>
    <n v="13429.92"/>
    <n v="3426"/>
    <d v="2014-01-06T00:00:00"/>
    <n v="13429.92"/>
  </r>
  <r>
    <x v="61"/>
    <s v="Low"/>
    <n v="662"/>
    <n v="10"/>
    <n v="125"/>
    <n v="82750"/>
    <s v="$1,655.00"/>
    <n v="81095"/>
    <n v="79440"/>
    <d v="2014-01-06T00:00:00"/>
    <n v="81095"/>
  </r>
  <r>
    <x v="16"/>
    <s v="Low"/>
    <n v="1295"/>
    <n v="10"/>
    <n v="12"/>
    <n v="15540"/>
    <s v="$310.80"/>
    <n v="15229.2"/>
    <n v="3885"/>
    <d v="2014-01-10T00:00:00"/>
    <n v="15229.2"/>
  </r>
  <r>
    <x v="80"/>
    <s v="Low"/>
    <n v="809"/>
    <n v="10"/>
    <n v="125"/>
    <s v=" $1,01,125.00 "/>
    <s v="$2,022.50"/>
    <n v="99102.5"/>
    <n v="97080"/>
    <d v="2013-01-10T00:00:00"/>
    <n v="99102.5"/>
  </r>
  <r>
    <x v="61"/>
    <s v="Low"/>
    <n v="2145"/>
    <n v="10"/>
    <n v="125"/>
    <s v=" $2,68,125.00 "/>
    <s v="$5,362.50"/>
    <s v=" $2,62,762.50 "/>
    <s v=" $2,57,400.00 "/>
    <d v="2013-01-10T00:00:00"/>
    <n v="262762.5"/>
  </r>
  <r>
    <x v="81"/>
    <s v="Low"/>
    <n v="1785"/>
    <n v="10"/>
    <n v="12"/>
    <n v="21420"/>
    <s v="$428.40"/>
    <n v="20991.599999999999"/>
    <n v="5355"/>
    <d v="2013-01-11T00:00:00"/>
    <n v="20991.599999999999"/>
  </r>
  <r>
    <x v="82"/>
    <s v="Low"/>
    <n v="1916"/>
    <n v="10"/>
    <n v="300"/>
    <s v=" $5,74,800.00 "/>
    <s v="$11,496.00"/>
    <s v=" $5,63,304.00 "/>
    <s v=" $4,79,000.00 "/>
    <d v="2014-01-12T00:00:00"/>
    <n v="563304"/>
  </r>
  <r>
    <x v="14"/>
    <s v="Low"/>
    <n v="2852"/>
    <n v="10"/>
    <n v="350"/>
    <s v=" $9,98,200.00 "/>
    <s v="$19,964.00"/>
    <s v=" $9,78,236.00 "/>
    <s v=" $7,41,520.00 "/>
    <d v="2014-01-12T00:00:00"/>
    <n v="978236"/>
  </r>
  <r>
    <x v="83"/>
    <s v="Low"/>
    <n v="2729"/>
    <n v="10"/>
    <n v="125"/>
    <s v=" $3,41,125.00 "/>
    <s v="$6,822.50"/>
    <s v=" $3,34,302.50 "/>
    <s v=" $3,27,480.00 "/>
    <d v="2014-01-12T00:00:00"/>
    <n v="334302.5"/>
  </r>
  <r>
    <x v="58"/>
    <s v="Low"/>
    <n v="1925"/>
    <n v="10"/>
    <n v="15"/>
    <n v="28875"/>
    <s v="$577.50"/>
    <n v="28297.5"/>
    <n v="19250"/>
    <d v="2013-01-12T00:00:00"/>
    <n v="28297.5"/>
  </r>
  <r>
    <x v="22"/>
    <s v="Low"/>
    <n v="2013"/>
    <n v="10"/>
    <n v="7"/>
    <n v="14091"/>
    <s v="$281.82"/>
    <n v="13809.18"/>
    <n v="10065"/>
    <d v="2013-01-12T00:00:00"/>
    <n v="13809.18"/>
  </r>
  <r>
    <x v="81"/>
    <s v="Low"/>
    <n v="1055"/>
    <n v="10"/>
    <n v="12"/>
    <n v="12660"/>
    <s v="$253.20"/>
    <n v="12406.8"/>
    <n v="3165"/>
    <d v="2014-01-12T00:00:00"/>
    <n v="12406.8"/>
  </r>
  <r>
    <x v="84"/>
    <s v="Low"/>
    <n v="1084"/>
    <n v="10"/>
    <n v="12"/>
    <n v="13008"/>
    <s v="$260.16"/>
    <n v="12747.84"/>
    <n v="3252"/>
    <d v="2014-01-12T00:00:00"/>
    <n v="12747.84"/>
  </r>
  <r>
    <x v="85"/>
    <s v="Low"/>
    <n v="1566"/>
    <n v="120"/>
    <n v="20"/>
    <n v="31320"/>
    <s v="$626.40"/>
    <n v="30693.599999999999"/>
    <n v="15660"/>
    <d v="2014-01-10T00:00:00"/>
    <n v="30693.599999999999"/>
  </r>
  <r>
    <x v="28"/>
    <s v="Low"/>
    <n v="2966"/>
    <n v="120"/>
    <n v="350"/>
    <s v=" $10,38,100.00 "/>
    <s v="$20,762.00"/>
    <s v=" $10,17,338.00 "/>
    <s v=" $7,71,160.00 "/>
    <d v="2013-01-10T00:00:00"/>
    <n v="1017338"/>
  </r>
  <r>
    <x v="28"/>
    <s v="Low"/>
    <n v="2877"/>
    <n v="120"/>
    <n v="350"/>
    <s v=" $10,06,950.00 "/>
    <s v="$20,139.00"/>
    <s v=" $9,86,811.00 "/>
    <s v=" $7,48,020.00 "/>
    <d v="2014-01-10T00:00:00"/>
    <n v="986811"/>
  </r>
  <r>
    <x v="86"/>
    <s v="Low"/>
    <n v="809"/>
    <n v="120"/>
    <n v="125"/>
    <s v=" $1,01,125.00 "/>
    <s v="$2,022.50"/>
    <n v="99102.5"/>
    <n v="97080"/>
    <d v="2013-01-10T00:00:00"/>
    <n v="99102.5"/>
  </r>
  <r>
    <x v="87"/>
    <s v="Low"/>
    <n v="2145"/>
    <n v="120"/>
    <n v="125"/>
    <s v=" $2,68,125.00 "/>
    <s v="$5,362.50"/>
    <s v=" $2,62,762.50 "/>
    <s v=" $2,57,400.00 "/>
    <d v="2013-01-10T00:00:00"/>
    <n v="262762.5"/>
  </r>
  <r>
    <x v="88"/>
    <s v="Low"/>
    <n v="1055"/>
    <n v="120"/>
    <n v="12"/>
    <n v="12660"/>
    <s v="$253.20"/>
    <n v="12406.8"/>
    <n v="3165"/>
    <d v="2014-01-12T00:00:00"/>
    <n v="12406.8"/>
  </r>
  <r>
    <x v="25"/>
    <s v="Low"/>
    <n v="544"/>
    <n v="120"/>
    <n v="20"/>
    <n v="10880"/>
    <s v="$217.60"/>
    <n v="10662.4"/>
    <n v="5440"/>
    <d v="2013-01-12T00:00:00"/>
    <n v="10662.4"/>
  </r>
  <r>
    <x v="89"/>
    <s v="Low"/>
    <n v="1084"/>
    <n v="120"/>
    <n v="12"/>
    <n v="13008"/>
    <s v="$260.16"/>
    <n v="12747.84"/>
    <n v="3252"/>
    <d v="2014-01-12T00:00:00"/>
    <n v="12747.84"/>
  </r>
  <r>
    <x v="90"/>
    <s v="Low"/>
    <n v="662"/>
    <n v="250"/>
    <n v="125"/>
    <n v="82750"/>
    <s v="$1,655.00"/>
    <n v="81095"/>
    <n v="79440"/>
    <d v="2014-01-06T00:00:00"/>
    <n v="81095"/>
  </r>
  <r>
    <x v="68"/>
    <s v="Low"/>
    <n v="214"/>
    <n v="250"/>
    <n v="300"/>
    <n v="64200"/>
    <s v="$1,284.00"/>
    <n v="62916"/>
    <n v="53500"/>
    <d v="2013-01-10T00:00:00"/>
    <n v="62916"/>
  </r>
  <r>
    <x v="65"/>
    <s v="Low"/>
    <n v="2877"/>
    <n v="250"/>
    <n v="350"/>
    <s v=" $10,06,950.00 "/>
    <s v="$20,139.00"/>
    <s v=" $9,86,811.00 "/>
    <s v=" $7,48,020.00 "/>
    <d v="2014-01-10T00:00:00"/>
    <n v="986811"/>
  </r>
  <r>
    <x v="91"/>
    <s v="Low"/>
    <n v="2729"/>
    <n v="250"/>
    <n v="125"/>
    <s v=" $3,41,125.00 "/>
    <s v="$6,822.50"/>
    <s v=" $3,34,302.50 "/>
    <s v=" $3,27,480.00 "/>
    <d v="2014-01-12T00:00:00"/>
    <n v="334302.5"/>
  </r>
  <r>
    <x v="92"/>
    <s v="Low"/>
    <n v="266"/>
    <n v="250"/>
    <n v="350"/>
    <n v="93100"/>
    <s v="$1,862.00"/>
    <n v="91238"/>
    <n v="69160"/>
    <d v="2013-01-12T00:00:00"/>
    <n v="91238"/>
  </r>
  <r>
    <x v="70"/>
    <s v="Low"/>
    <n v="1940"/>
    <n v="250"/>
    <n v="350"/>
    <s v=" $6,79,000.00 "/>
    <s v="$13,580.00"/>
    <s v=" $6,65,420.00 "/>
    <s v=" $5,04,400.00 "/>
    <d v="2013-01-12T00:00:00"/>
    <n v="665420"/>
  </r>
  <r>
    <x v="93"/>
    <s v="Low"/>
    <n v="259"/>
    <n v="260"/>
    <n v="300"/>
    <n v="77700"/>
    <s v="$1,554.00"/>
    <n v="76146"/>
    <n v="64750"/>
    <d v="2014-01-03T00:00:00"/>
    <n v="76146"/>
  </r>
  <r>
    <x v="94"/>
    <s v="Low"/>
    <n v="1101"/>
    <n v="260"/>
    <n v="300"/>
    <s v=" $3,30,300.00 "/>
    <s v="$6,606.00"/>
    <s v=" $3,23,694.00 "/>
    <s v=" $2,75,250.00 "/>
    <d v="2014-01-03T00:00:00"/>
    <n v="323694"/>
  </r>
  <r>
    <x v="40"/>
    <s v="Low"/>
    <n v="2276"/>
    <n v="260"/>
    <n v="125"/>
    <s v=" $2,84,500.00 "/>
    <s v="$5,690.00"/>
    <s v=" $2,78,810.00 "/>
    <s v=" $2,73,120.00 "/>
    <d v="2014-01-05T00:00:00"/>
    <n v="278810"/>
  </r>
  <r>
    <x v="41"/>
    <s v="Low"/>
    <n v="2966"/>
    <n v="260"/>
    <n v="350"/>
    <s v=" $10,38,100.00 "/>
    <s v="$20,762.00"/>
    <s v=" $10,17,338.00 "/>
    <s v=" $7,71,160.00 "/>
    <d v="2013-01-10T00:00:00"/>
    <n v="1017338"/>
  </r>
  <r>
    <x v="42"/>
    <s v="Low"/>
    <n v="1236"/>
    <n v="260"/>
    <n v="20"/>
    <n v="24720"/>
    <s v="$494.40"/>
    <n v="24225.599999999999"/>
    <n v="12360"/>
    <d v="2014-01-11T00:00:00"/>
    <n v="24225.599999999999"/>
  </r>
  <r>
    <x v="38"/>
    <s v="Low"/>
    <n v="941"/>
    <n v="260"/>
    <n v="20"/>
    <n v="18820"/>
    <s v="$376.40"/>
    <n v="18443.599999999999"/>
    <n v="9410"/>
    <d v="2014-01-11T00:00:00"/>
    <n v="18443.599999999999"/>
  </r>
  <r>
    <x v="95"/>
    <s v="Low"/>
    <n v="1916"/>
    <n v="260"/>
    <n v="300"/>
    <s v=" $5,74,800.00 "/>
    <s v="$11,496.00"/>
    <s v=" $5,63,304.00 "/>
    <s v=" $4,79,000.00 "/>
    <d v="2014-01-12T00:00:00"/>
    <n v="563304"/>
  </r>
  <r>
    <x v="96"/>
    <s v="Low"/>
    <n v="4243.5"/>
    <n v="3"/>
    <n v="125"/>
    <s v=" $5,30,437.50 "/>
    <s v="$15,913.13"/>
    <s v=" $5,14,524.38 "/>
    <s v=" $5,09,220.00 "/>
    <d v="2014-01-04T00:00:00"/>
    <n v="514524.38"/>
  </r>
  <r>
    <x v="1"/>
    <s v="Low"/>
    <n v="2580"/>
    <n v="3"/>
    <n v="20"/>
    <n v="51600"/>
    <s v="$1,548.00"/>
    <n v="50052"/>
    <n v="25800"/>
    <d v="2014-01-04T00:00:00"/>
    <n v="50052"/>
  </r>
  <r>
    <x v="73"/>
    <s v="Low"/>
    <n v="689"/>
    <n v="3"/>
    <n v="300"/>
    <s v=" $2,06,700.00 "/>
    <s v="$6,201.00"/>
    <s v=" $2,00,499.00 "/>
    <s v=" $1,72,250.00 "/>
    <d v="2014-01-06T00:00:00"/>
    <n v="200499"/>
  </r>
  <r>
    <x v="46"/>
    <s v="Low"/>
    <n v="1947"/>
    <n v="3"/>
    <n v="12"/>
    <n v="23364"/>
    <s v="$700.92"/>
    <n v="22663.08"/>
    <n v="5841"/>
    <d v="2014-01-09T00:00:00"/>
    <n v="22663.08"/>
  </r>
  <r>
    <x v="49"/>
    <s v="Low"/>
    <n v="908"/>
    <n v="3"/>
    <n v="12"/>
    <n v="10896"/>
    <s v="$326.88"/>
    <n v="10569.12"/>
    <n v="2724"/>
    <d v="2013-01-12T00:00:00"/>
    <n v="10569.12"/>
  </r>
  <r>
    <x v="12"/>
    <s v="Low"/>
    <n v="1958"/>
    <n v="5"/>
    <n v="7"/>
    <n v="13706"/>
    <s v="$411.18"/>
    <n v="13294.82"/>
    <n v="9790"/>
    <d v="2014-01-02T00:00:00"/>
    <n v="13294.82"/>
  </r>
  <r>
    <x v="97"/>
    <s v="Low"/>
    <n v="1901"/>
    <n v="5"/>
    <n v="12"/>
    <n v="22812"/>
    <s v="$684.36"/>
    <n v="22127.64"/>
    <n v="5703"/>
    <d v="2014-01-06T00:00:00"/>
    <n v="22127.64"/>
  </r>
  <r>
    <x v="7"/>
    <s v="Low"/>
    <n v="544"/>
    <n v="5"/>
    <n v="7"/>
    <n v="3808"/>
    <s v="$114.24"/>
    <n v="3693.76"/>
    <n v="2720"/>
    <d v="2014-01-09T00:00:00"/>
    <n v="3693.76"/>
  </r>
  <r>
    <x v="12"/>
    <s v="Low"/>
    <n v="1797"/>
    <n v="5"/>
    <n v="350"/>
    <s v=" $6,28,950.00 "/>
    <s v="$18,868.50"/>
    <s v=" $6,10,081.50 "/>
    <s v=" $4,67,220.00 "/>
    <d v="2013-01-09T00:00:00"/>
    <n v="610081.5"/>
  </r>
  <r>
    <x v="98"/>
    <s v="Low"/>
    <n v="1287"/>
    <n v="5"/>
    <n v="125"/>
    <s v=" $1,60,875.00 "/>
    <s v="$4,826.25"/>
    <s v=" $1,56,048.75 "/>
    <s v=" $1,54,440.00 "/>
    <d v="2014-01-12T00:00:00"/>
    <n v="156048.75"/>
  </r>
  <r>
    <x v="99"/>
    <s v="Low"/>
    <n v="1706"/>
    <n v="5"/>
    <n v="125"/>
    <s v=" $2,13,250.00 "/>
    <s v="$6,397.50"/>
    <s v=" $2,06,852.50 "/>
    <s v=" $2,04,720.00 "/>
    <d v="2014-01-12T00:00:00"/>
    <n v="206852.5"/>
  </r>
  <r>
    <x v="78"/>
    <s v="Low"/>
    <n v="2434.5"/>
    <n v="10"/>
    <n v="300"/>
    <s v=" $7,30,350.00 "/>
    <s v="$21,910.50"/>
    <s v=" $7,08,439.50 "/>
    <s v=" $6,08,625.00 "/>
    <d v="2014-01-01T00:00:00"/>
    <n v="708439.5"/>
  </r>
  <r>
    <x v="83"/>
    <s v="Low"/>
    <n v="1774"/>
    <n v="10"/>
    <n v="125"/>
    <s v=" $2,21,750.00 "/>
    <s v="$6,652.50"/>
    <s v=" $2,15,097.50 "/>
    <s v=" $2,12,880.00 "/>
    <d v="2014-01-03T00:00:00"/>
    <n v="215097.5"/>
  </r>
  <r>
    <x v="81"/>
    <s v="Low"/>
    <n v="1901"/>
    <n v="10"/>
    <n v="12"/>
    <n v="22812"/>
    <s v="$684.36"/>
    <n v="22127.64"/>
    <n v="5703"/>
    <d v="2014-01-06T00:00:00"/>
    <n v="22127.64"/>
  </r>
  <r>
    <x v="79"/>
    <s v="Low"/>
    <n v="689"/>
    <n v="10"/>
    <n v="300"/>
    <s v=" $2,06,700.00 "/>
    <s v="$6,201.00"/>
    <s v=" $2,00,499.00 "/>
    <s v=" $1,72,250.00 "/>
    <d v="2014-01-06T00:00:00"/>
    <n v="200499"/>
  </r>
  <r>
    <x v="80"/>
    <s v="Low"/>
    <n v="1570"/>
    <n v="10"/>
    <n v="125"/>
    <s v=" $1,96,250.00 "/>
    <s v="$5,887.50"/>
    <s v=" $1,90,362.50 "/>
    <s v=" $1,88,400.00 "/>
    <d v="2014-01-06T00:00:00"/>
    <n v="190362.5"/>
  </r>
  <r>
    <x v="23"/>
    <s v="Low"/>
    <n v="1369.5"/>
    <n v="10"/>
    <n v="12"/>
    <n v="16434"/>
    <s v="$493.02"/>
    <n v="15940.98"/>
    <n v="4108.5"/>
    <d v="2014-01-07T00:00:00"/>
    <n v="15940.98"/>
  </r>
  <r>
    <x v="83"/>
    <s v="Low"/>
    <n v="2009"/>
    <n v="10"/>
    <n v="125"/>
    <s v=" $2,51,125.00 "/>
    <s v="$7,533.75"/>
    <s v=" $2,43,591.25 "/>
    <s v=" $2,41,080.00 "/>
    <d v="2014-01-10T00:00:00"/>
    <n v="243591.25"/>
  </r>
  <r>
    <x v="62"/>
    <s v="Low"/>
    <n v="1945"/>
    <n v="10"/>
    <n v="15"/>
    <n v="29175"/>
    <s v="$875.25"/>
    <n v="28299.75"/>
    <n v="19450"/>
    <d v="2013-01-10T00:00:00"/>
    <n v="28299.75"/>
  </r>
  <r>
    <x v="60"/>
    <s v="Low"/>
    <n v="1287"/>
    <n v="10"/>
    <n v="125"/>
    <s v=" $1,60,875.00 "/>
    <s v="$4,826.25"/>
    <s v=" $1,56,048.75 "/>
    <s v=" $1,54,440.00 "/>
    <d v="2014-01-12T00:00:00"/>
    <n v="156048.75"/>
  </r>
  <r>
    <x v="80"/>
    <s v="Low"/>
    <n v="1706"/>
    <n v="10"/>
    <n v="125"/>
    <s v=" $2,13,250.00 "/>
    <s v="$6,397.50"/>
    <s v=" $2,06,852.50 "/>
    <s v=" $2,04,720.00 "/>
    <d v="2014-01-12T00:00:00"/>
    <n v="206852.5"/>
  </r>
  <r>
    <x v="30"/>
    <s v="Low"/>
    <n v="2009"/>
    <n v="120"/>
    <n v="125"/>
    <s v=" $2,51,125.00 "/>
    <s v="$7,533.75"/>
    <s v=" $2,43,591.25 "/>
    <s v=" $2,41,080.00 "/>
    <d v="2014-01-10T00:00:00"/>
    <n v="243591.25"/>
  </r>
  <r>
    <x v="100"/>
    <s v="Low"/>
    <n v="2844"/>
    <n v="250"/>
    <n v="300"/>
    <s v=" $8,53,200.00 "/>
    <s v="$25,596.00"/>
    <s v=" $8,27,604.00 "/>
    <s v=" $7,11,000.00 "/>
    <d v="2014-01-02T00:00:00"/>
    <n v="827604"/>
  </r>
  <r>
    <x v="101"/>
    <s v="Low"/>
    <n v="1916"/>
    <n v="250"/>
    <n v="12"/>
    <n v="22992"/>
    <s v="$689.76"/>
    <n v="22302.240000000002"/>
    <n v="5748"/>
    <d v="2014-01-04T00:00:00"/>
    <n v="22302.240000000002"/>
  </r>
  <r>
    <x v="102"/>
    <s v="Low"/>
    <n v="1570"/>
    <n v="250"/>
    <n v="125"/>
    <s v=" $1,96,250.00 "/>
    <s v="$5,887.50"/>
    <s v=" $1,90,362.50 "/>
    <s v=" $1,88,400.00 "/>
    <d v="2014-01-06T00:00:00"/>
    <n v="190362.5"/>
  </r>
  <r>
    <x v="31"/>
    <s v="Low"/>
    <n v="1874"/>
    <n v="250"/>
    <n v="300"/>
    <s v=" $5,62,200.00 "/>
    <s v="$16,866.00"/>
    <s v=" $5,45,334.00 "/>
    <s v=" $4,68,500.00 "/>
    <d v="2014-01-08T00:00:00"/>
    <n v="545334"/>
  </r>
  <r>
    <x v="70"/>
    <s v="Low"/>
    <n v="1642"/>
    <n v="250"/>
    <n v="350"/>
    <s v=" $5,74,700.00 "/>
    <s v="$17,241.00"/>
    <s v=" $5,57,459.00 "/>
    <s v=" $4,26,920.00 "/>
    <d v="2014-01-08T00:00:00"/>
    <n v="557459"/>
  </r>
  <r>
    <x v="34"/>
    <s v="Low"/>
    <n v="1945"/>
    <n v="250"/>
    <n v="15"/>
    <n v="29175"/>
    <s v="$875.25"/>
    <n v="28299.75"/>
    <n v="19450"/>
    <d v="2013-01-10T00:00:00"/>
    <n v="28299.75"/>
  </r>
  <r>
    <x v="0"/>
    <s v="Low"/>
    <n v="831"/>
    <n v="3"/>
    <n v="20"/>
    <n v="16620"/>
    <s v="$498.60"/>
    <n v="16121.4"/>
    <n v="8310"/>
    <d v="2014-01-05T00:00:00"/>
    <n v="16121.4"/>
  </r>
  <r>
    <x v="19"/>
    <s v="Low"/>
    <n v="1760"/>
    <n v="10"/>
    <n v="7"/>
    <n v="12320"/>
    <s v="$369.60"/>
    <n v="11950.4"/>
    <n v="8800"/>
    <d v="2013-01-09T00:00:00"/>
    <n v="11950.4"/>
  </r>
  <r>
    <x v="64"/>
    <s v="Low"/>
    <n v="3850.5"/>
    <n v="120"/>
    <n v="20"/>
    <n v="77010"/>
    <s v="$2,310.30"/>
    <n v="74699.7"/>
    <n v="38505"/>
    <d v="2014-01-04T00:00:00"/>
    <n v="74699.7"/>
  </r>
  <r>
    <x v="32"/>
    <s v="Low"/>
    <n v="2479"/>
    <n v="250"/>
    <n v="12"/>
    <n v="29748"/>
    <s v="$892.44"/>
    <n v="28855.56"/>
    <n v="7437"/>
    <d v="2014-01-01T00:00:00"/>
    <n v="28855.56"/>
  </r>
  <r>
    <x v="9"/>
    <s v="Low"/>
    <n v="2031"/>
    <n v="5"/>
    <n v="15"/>
    <n v="30465"/>
    <s v="$1,218.60"/>
    <n v="29246.400000000001"/>
    <n v="20310"/>
    <d v="2014-01-10T00:00:00"/>
    <n v="29246.400000000001"/>
  </r>
  <r>
    <x v="15"/>
    <s v="Low"/>
    <n v="2031"/>
    <n v="10"/>
    <n v="15"/>
    <n v="30465"/>
    <s v="$1,218.60"/>
    <n v="29246.400000000001"/>
    <n v="20310"/>
    <d v="2014-01-10T00:00:00"/>
    <n v="29246.400000000001"/>
  </r>
  <r>
    <x v="20"/>
    <s v="Low"/>
    <n v="2261"/>
    <n v="10"/>
    <n v="15"/>
    <n v="33915"/>
    <s v="$1,356.60"/>
    <n v="32558.400000000001"/>
    <n v="22610"/>
    <d v="2013-01-12T00:00:00"/>
    <n v="32558.400000000001"/>
  </r>
  <r>
    <x v="85"/>
    <s v="Low"/>
    <n v="736"/>
    <n v="120"/>
    <n v="20"/>
    <n v="14720"/>
    <s v="$588.80"/>
    <n v="14131.2"/>
    <n v="7360"/>
    <d v="2013-01-09T00:00:00"/>
    <n v="14131.2"/>
  </r>
  <r>
    <x v="0"/>
    <s v="Low"/>
    <n v="2851"/>
    <n v="3"/>
    <n v="7"/>
    <n v="19957"/>
    <s v="$798.28"/>
    <n v="19158.72"/>
    <n v="14255"/>
    <d v="2013-01-10T00:00:00"/>
    <n v="19158.72"/>
  </r>
  <r>
    <x v="73"/>
    <s v="Low"/>
    <n v="2021"/>
    <n v="3"/>
    <n v="300"/>
    <s v=" $6,06,300.00 "/>
    <s v="$24,252.00"/>
    <s v=" $5,82,048.00 "/>
    <s v=" $5,05,250.00 "/>
    <d v="2014-01-10T00:00:00"/>
    <n v="582048"/>
  </r>
  <r>
    <x v="48"/>
    <s v="Low"/>
    <n v="274"/>
    <n v="3"/>
    <n v="350"/>
    <n v="95900"/>
    <s v="$3,836.00"/>
    <n v="92064"/>
    <n v="71240"/>
    <d v="2014-01-12T00:00:00"/>
    <n v="92064"/>
  </r>
  <r>
    <x v="103"/>
    <s v="Low"/>
    <n v="1967"/>
    <n v="5"/>
    <n v="15"/>
    <n v="29505"/>
    <s v="$1,180.20"/>
    <n v="28324.799999999999"/>
    <n v="19670"/>
    <d v="2014-01-03T00:00:00"/>
    <n v="28324.799999999999"/>
  </r>
  <r>
    <x v="104"/>
    <s v="Low"/>
    <n v="1859"/>
    <n v="5"/>
    <n v="300"/>
    <s v=" $5,57,700.00 "/>
    <s v="$22,308.00"/>
    <s v=" $5,35,392.00 "/>
    <s v=" $4,64,750.00 "/>
    <d v="2014-01-08T00:00:00"/>
    <n v="535392"/>
  </r>
  <r>
    <x v="56"/>
    <s v="Low"/>
    <n v="2851"/>
    <n v="5"/>
    <n v="7"/>
    <n v="19957"/>
    <s v="$798.28"/>
    <n v="19158.72"/>
    <n v="14255"/>
    <d v="2013-01-10T00:00:00"/>
    <n v="19158.72"/>
  </r>
  <r>
    <x v="104"/>
    <s v="Low"/>
    <n v="2021"/>
    <n v="5"/>
    <n v="300"/>
    <s v=" $6,06,300.00 "/>
    <s v="$24,252.00"/>
    <s v=" $5,82,048.00 "/>
    <s v=" $5,05,250.00 "/>
    <d v="2014-01-10T00:00:00"/>
    <n v="582048"/>
  </r>
  <r>
    <x v="77"/>
    <s v="Low"/>
    <n v="1138"/>
    <n v="5"/>
    <n v="125"/>
    <s v=" $1,42,250.00 "/>
    <s v="$5,690.00"/>
    <s v=" $1,36,560.00 "/>
    <s v=" $1,36,560.00 "/>
    <d v="2014-01-12T00:00:00"/>
    <n v="136560"/>
  </r>
  <r>
    <x v="14"/>
    <s v="Low"/>
    <n v="4251"/>
    <n v="10"/>
    <n v="7"/>
    <n v="29757"/>
    <s v="$1,190.28"/>
    <n v="28566.720000000001"/>
    <n v="21255"/>
    <d v="2014-01-01T00:00:00"/>
    <n v="28566.720000000001"/>
  </r>
  <r>
    <x v="80"/>
    <s v="Low"/>
    <n v="795"/>
    <n v="10"/>
    <n v="125"/>
    <n v="99375"/>
    <s v="$3,975.00"/>
    <n v="95400"/>
    <n v="95400"/>
    <d v="2014-01-03T00:00:00"/>
    <n v="95400"/>
  </r>
  <r>
    <x v="79"/>
    <s v="Low"/>
    <n v="1414.5"/>
    <n v="10"/>
    <n v="300"/>
    <s v=" $4,24,350.00 "/>
    <s v="$16,974.00"/>
    <s v=" $4,07,376.00 "/>
    <s v=" $3,53,625.00 "/>
    <d v="2014-01-04T00:00:00"/>
    <n v="407376"/>
  </r>
  <r>
    <x v="63"/>
    <s v="Low"/>
    <n v="2918"/>
    <n v="10"/>
    <n v="300"/>
    <s v=" $8,75,400.00 "/>
    <s v="$35,016.00"/>
    <s v=" $8,40,384.00 "/>
    <s v=" $7,29,500.00 "/>
    <d v="2014-01-05T00:00:00"/>
    <n v="840384"/>
  </r>
  <r>
    <x v="22"/>
    <s v="Low"/>
    <n v="3450"/>
    <n v="10"/>
    <n v="350"/>
    <s v=" $12,07,500.00 "/>
    <s v="$48,300.00"/>
    <s v=" $11,59,200.00 "/>
    <s v=" $8,97,000.00 "/>
    <d v="2014-01-07T00:00:00"/>
    <n v="1159200"/>
  </r>
  <r>
    <x v="60"/>
    <s v="Low"/>
    <n v="2988"/>
    <n v="10"/>
    <n v="125"/>
    <s v=" $3,73,500.00 "/>
    <s v="$14,940.00"/>
    <s v=" $3,58,560.00 "/>
    <s v=" $3,58,560.00 "/>
    <d v="2014-01-07T00:00:00"/>
    <n v="358560"/>
  </r>
  <r>
    <x v="24"/>
    <s v="Low"/>
    <n v="218"/>
    <n v="10"/>
    <n v="15"/>
    <n v="3270"/>
    <s v="$130.80"/>
    <n v="3139.2"/>
    <n v="2180"/>
    <d v="2014-01-09T00:00:00"/>
    <n v="3139.2"/>
  </r>
  <r>
    <x v="14"/>
    <s v="Low"/>
    <n v="2074"/>
    <n v="10"/>
    <n v="20"/>
    <n v="41480"/>
    <s v="$1,659.20"/>
    <n v="39820.800000000003"/>
    <n v="20740"/>
    <d v="2014-01-09T00:00:00"/>
    <n v="39820.800000000003"/>
  </r>
  <r>
    <x v="22"/>
    <s v="Low"/>
    <n v="1056"/>
    <n v="10"/>
    <n v="20"/>
    <n v="21120"/>
    <s v="$844.80"/>
    <n v="20275.2"/>
    <n v="10560"/>
    <d v="2014-01-09T00:00:00"/>
    <n v="20275.2"/>
  </r>
  <r>
    <x v="58"/>
    <s v="Low"/>
    <n v="671"/>
    <n v="10"/>
    <n v="15"/>
    <n v="10065"/>
    <s v="$402.60"/>
    <n v="9662.4"/>
    <n v="6710"/>
    <d v="2013-01-10T00:00:00"/>
    <n v="9662.4"/>
  </r>
  <r>
    <x v="15"/>
    <s v="Low"/>
    <n v="1514"/>
    <n v="10"/>
    <n v="15"/>
    <n v="22710"/>
    <s v="$908.40"/>
    <n v="21801.599999999999"/>
    <n v="15140"/>
    <d v="2013-01-10T00:00:00"/>
    <n v="21801.599999999999"/>
  </r>
  <r>
    <x v="22"/>
    <s v="Low"/>
    <n v="274"/>
    <n v="10"/>
    <n v="350"/>
    <n v="95900"/>
    <s v="$3,836.00"/>
    <n v="92064"/>
    <n v="71240"/>
    <d v="2014-01-12T00:00:00"/>
    <n v="92064"/>
  </r>
  <r>
    <x v="61"/>
    <s v="Low"/>
    <n v="1138"/>
    <n v="10"/>
    <n v="125"/>
    <s v=" $1,42,250.00 "/>
    <s v="$5,690.00"/>
    <s v=" $1,36,560.00 "/>
    <s v=" $1,36,560.00 "/>
    <d v="2014-01-12T00:00:00"/>
    <n v="136560"/>
  </r>
  <r>
    <x v="105"/>
    <s v="Low"/>
    <n v="1465"/>
    <n v="120"/>
    <n v="12"/>
    <n v="17580"/>
    <s v="$703.20"/>
    <n v="16876.8"/>
    <n v="4395"/>
    <d v="2014-01-03T00:00:00"/>
    <n v="16876.8"/>
  </r>
  <r>
    <x v="64"/>
    <s v="Low"/>
    <n v="2646"/>
    <n v="120"/>
    <n v="20"/>
    <n v="52920"/>
    <s v="$2,116.80"/>
    <n v="50803.199999999997"/>
    <n v="26460"/>
    <d v="2013-01-09T00:00:00"/>
    <n v="50803.199999999997"/>
  </r>
  <r>
    <x v="45"/>
    <s v="Low"/>
    <n v="2177"/>
    <n v="120"/>
    <n v="350"/>
    <s v=" $7,61,950.00 "/>
    <s v="$30,478.00"/>
    <s v=" $7,31,472.00 "/>
    <s v=" $5,66,020.00 "/>
    <d v="2014-01-10T00:00:00"/>
    <n v="731472"/>
  </r>
  <r>
    <x v="106"/>
    <s v="Low"/>
    <n v="866"/>
    <n v="250"/>
    <n v="12"/>
    <n v="10392"/>
    <s v="$415.68"/>
    <n v="9976.32"/>
    <n v="2598"/>
    <d v="2014-01-05T00:00:00"/>
    <n v="9976.32"/>
  </r>
  <r>
    <x v="92"/>
    <s v="Low"/>
    <n v="349"/>
    <n v="250"/>
    <n v="350"/>
    <s v=" $1,22,150.00 "/>
    <s v="$4,886.00"/>
    <s v=" $1,17,264.00 "/>
    <n v="90740"/>
    <d v="2013-01-09T00:00:00"/>
    <n v="117264"/>
  </r>
  <r>
    <x v="35"/>
    <s v="Low"/>
    <n v="2177"/>
    <n v="250"/>
    <n v="350"/>
    <s v=" $7,61,950.00 "/>
    <s v="$30,478.00"/>
    <s v=" $7,31,472.00 "/>
    <s v=" $5,66,020.00 "/>
    <d v="2014-01-10T00:00:00"/>
    <n v="731472"/>
  </r>
  <r>
    <x v="107"/>
    <s v="Low"/>
    <n v="1514"/>
    <n v="250"/>
    <n v="15"/>
    <n v="22710"/>
    <s v="$908.40"/>
    <n v="21801.599999999999"/>
    <n v="15140"/>
    <d v="2013-01-10T00:00:00"/>
    <n v="21801.599999999999"/>
  </r>
  <r>
    <x v="108"/>
    <s v="Low"/>
    <n v="1865"/>
    <n v="260"/>
    <n v="350"/>
    <s v=" $6,52,750.00 "/>
    <s v="$26,110.00"/>
    <s v=" $6,26,640.00 "/>
    <s v=" $4,84,900.00 "/>
    <d v="2014-01-02T00:00:00"/>
    <n v="626640"/>
  </r>
  <r>
    <x v="109"/>
    <s v="Low"/>
    <n v="1074"/>
    <n v="260"/>
    <n v="125"/>
    <s v=" $1,34,250.00 "/>
    <s v="$5,370.00"/>
    <s v=" $1,28,880.00 "/>
    <s v=" $1,28,880.00 "/>
    <d v="2014-01-04T00:00:00"/>
    <n v="128880"/>
  </r>
  <r>
    <x v="41"/>
    <s v="Low"/>
    <n v="1907"/>
    <n v="260"/>
    <n v="350"/>
    <s v=" $6,67,450.00 "/>
    <s v="$26,698.00"/>
    <s v=" $6,40,752.00 "/>
    <s v=" $4,95,820.00 "/>
    <d v="2014-01-09T00:00:00"/>
    <n v="640752"/>
  </r>
  <r>
    <x v="43"/>
    <s v="Low"/>
    <n v="671"/>
    <n v="260"/>
    <n v="15"/>
    <n v="10065"/>
    <s v="$402.60"/>
    <n v="9662.4"/>
    <n v="6710"/>
    <d v="2013-01-10T00:00:00"/>
    <n v="9662.4"/>
  </r>
  <r>
    <x v="110"/>
    <s v="Low"/>
    <n v="1778"/>
    <n v="260"/>
    <n v="350"/>
    <s v=" $6,22,300.00 "/>
    <s v="$24,892.00"/>
    <s v=" $5,97,408.00 "/>
    <s v=" $4,62,280.00 "/>
    <d v="2013-01-12T00:00:00"/>
    <n v="597408"/>
  </r>
  <r>
    <x v="12"/>
    <s v="Medium"/>
    <n v="1159"/>
    <n v="5"/>
    <n v="7"/>
    <n v="8113"/>
    <s v="$405.65"/>
    <n v="7707.35"/>
    <n v="5795"/>
    <d v="2013-01-10T00:00:00"/>
    <n v="7707.35"/>
  </r>
  <r>
    <x v="17"/>
    <s v="Medium"/>
    <n v="1372"/>
    <n v="10"/>
    <n v="7"/>
    <n v="9604"/>
    <s v="$480.20"/>
    <n v="9123.7999999999993"/>
    <n v="6860"/>
    <d v="2014-01-01T00:00:00"/>
    <n v="9123.7999999999993"/>
  </r>
  <r>
    <x v="14"/>
    <s v="Medium"/>
    <n v="2349"/>
    <n v="10"/>
    <n v="7"/>
    <n v="16443"/>
    <s v="$822.15"/>
    <n v="15620.85"/>
    <n v="11745"/>
    <d v="2013-01-09T00:00:00"/>
    <n v="15620.85"/>
  </r>
  <r>
    <x v="19"/>
    <s v="Medium"/>
    <n v="2689"/>
    <n v="10"/>
    <n v="7"/>
    <n v="18823"/>
    <s v="$941.15"/>
    <n v="17881.849999999999"/>
    <n v="13445"/>
    <d v="2014-01-10T00:00:00"/>
    <n v="17881.849999999999"/>
  </r>
  <r>
    <x v="16"/>
    <s v="Medium"/>
    <n v="2431"/>
    <n v="10"/>
    <n v="12"/>
    <n v="29172"/>
    <s v="$1,458.60"/>
    <n v="27713.4"/>
    <n v="7293"/>
    <d v="2014-01-12T00:00:00"/>
    <n v="27713.4"/>
  </r>
  <r>
    <x v="111"/>
    <s v="Medium"/>
    <n v="2431"/>
    <n v="120"/>
    <n v="12"/>
    <n v="29172"/>
    <s v="$1,458.60"/>
    <n v="27713.4"/>
    <n v="7293"/>
    <d v="2014-01-12T00:00:00"/>
    <n v="27713.4"/>
  </r>
  <r>
    <x v="70"/>
    <s v="Medium"/>
    <n v="2689"/>
    <n v="250"/>
    <n v="7"/>
    <n v="18823"/>
    <s v="$941.15"/>
    <n v="17881.849999999999"/>
    <n v="13445"/>
    <d v="2014-01-10T00:00:00"/>
    <n v="17881.849999999999"/>
  </r>
  <r>
    <x v="108"/>
    <s v="Medium"/>
    <n v="1683"/>
    <n v="260"/>
    <n v="7"/>
    <n v="11781"/>
    <s v="$589.05"/>
    <n v="11191.95"/>
    <n v="8415"/>
    <d v="2014-01-07T00:00:00"/>
    <n v="11191.95"/>
  </r>
  <r>
    <x v="112"/>
    <s v="Medium"/>
    <n v="1123"/>
    <n v="260"/>
    <n v="12"/>
    <n v="13476"/>
    <s v="$673.80"/>
    <n v="12802.2"/>
    <n v="3369"/>
    <d v="2014-01-08T00:00:00"/>
    <n v="12802.2"/>
  </r>
  <r>
    <x v="41"/>
    <s v="Medium"/>
    <n v="1159"/>
    <n v="260"/>
    <n v="7"/>
    <n v="8113"/>
    <s v="$405.65"/>
    <n v="7707.35"/>
    <n v="5795"/>
    <d v="2013-01-10T00:00:00"/>
    <n v="7707.35"/>
  </r>
  <r>
    <x v="51"/>
    <s v="Medium"/>
    <n v="1865"/>
    <n v="3"/>
    <n v="12"/>
    <n v="22380"/>
    <s v="$1,119.00"/>
    <n v="21261"/>
    <n v="5595"/>
    <d v="2014-01-02T00:00:00"/>
    <n v="21261"/>
  </r>
  <r>
    <x v="52"/>
    <s v="Medium"/>
    <n v="1116"/>
    <n v="3"/>
    <n v="12"/>
    <n v="13392"/>
    <s v="$669.60"/>
    <n v="12722.4"/>
    <n v="3348"/>
    <d v="2014-01-02T00:00:00"/>
    <n v="12722.4"/>
  </r>
  <r>
    <x v="54"/>
    <s v="Medium"/>
    <n v="1563"/>
    <n v="3"/>
    <n v="20"/>
    <n v="31260"/>
    <s v="$1,563.00"/>
    <n v="29697"/>
    <n v="15630"/>
    <d v="2014-01-05T00:00:00"/>
    <n v="29697"/>
  </r>
  <r>
    <x v="113"/>
    <s v="Medium"/>
    <n v="991"/>
    <n v="3"/>
    <n v="300"/>
    <s v=" $2,97,300.00 "/>
    <s v="$14,865.00"/>
    <s v=" $2,82,435.00 "/>
    <s v=" $2,47,750.00 "/>
    <d v="2014-01-06T00:00:00"/>
    <n v="282435"/>
  </r>
  <r>
    <x v="1"/>
    <s v="Medium"/>
    <n v="1016"/>
    <n v="3"/>
    <n v="7"/>
    <n v="7112"/>
    <s v="$355.60"/>
    <n v="6756.4"/>
    <n v="5080"/>
    <d v="2013-01-11T00:00:00"/>
    <n v="6756.4"/>
  </r>
  <r>
    <x v="4"/>
    <s v="Medium"/>
    <n v="2791"/>
    <n v="3"/>
    <n v="15"/>
    <n v="41865"/>
    <s v="$2,093.25"/>
    <n v="39771.75"/>
    <n v="27910"/>
    <d v="2014-01-11T00:00:00"/>
    <n v="39771.75"/>
  </r>
  <r>
    <x v="48"/>
    <s v="Medium"/>
    <n v="570"/>
    <n v="3"/>
    <n v="7"/>
    <n v="3990"/>
    <s v="$199.50"/>
    <n v="3790.5"/>
    <n v="2850"/>
    <d v="2014-01-12T00:00:00"/>
    <n v="3790.5"/>
  </r>
  <r>
    <x v="54"/>
    <s v="Medium"/>
    <n v="2487"/>
    <n v="3"/>
    <n v="7"/>
    <n v="17409"/>
    <s v="$870.45"/>
    <n v="16538.55"/>
    <n v="12435"/>
    <d v="2014-01-12T00:00:00"/>
    <n v="16538.55"/>
  </r>
  <r>
    <x v="7"/>
    <s v="Medium"/>
    <n v="1384.5"/>
    <n v="5"/>
    <n v="350"/>
    <s v=" $4,84,575.00 "/>
    <s v="$24,228.75"/>
    <s v=" $4,60,346.25 "/>
    <s v=" $3,59,970.00 "/>
    <d v="2014-01-01T00:00:00"/>
    <n v="460346.25"/>
  </r>
  <r>
    <x v="57"/>
    <s v="Medium"/>
    <n v="3627"/>
    <n v="5"/>
    <n v="125"/>
    <s v=" $4,53,375.00 "/>
    <s v="$22,668.75"/>
    <s v=" $4,30,706.25 "/>
    <s v=" $4,35,240.00 "/>
    <d v="2014-01-07T00:00:00"/>
    <n v="430706.25"/>
  </r>
  <r>
    <x v="114"/>
    <s v="Medium"/>
    <n v="720"/>
    <n v="5"/>
    <n v="350"/>
    <s v=" $2,52,000.00 "/>
    <s v="$12,600.00"/>
    <s v=" $2,39,400.00 "/>
    <s v=" $1,87,200.00 "/>
    <d v="2013-01-09T00:00:00"/>
    <n v="239400"/>
  </r>
  <r>
    <x v="8"/>
    <s v="Medium"/>
    <n v="2342"/>
    <n v="5"/>
    <n v="12"/>
    <n v="28104"/>
    <s v="$1,405.20"/>
    <n v="26698.799999999999"/>
    <n v="7026"/>
    <d v="2014-01-11T00:00:00"/>
    <n v="26698.799999999999"/>
  </r>
  <r>
    <x v="11"/>
    <s v="Medium"/>
    <n v="1100"/>
    <n v="5"/>
    <n v="300"/>
    <s v=" $3,30,000.00 "/>
    <s v="$16,500.00"/>
    <s v=" $3,13,500.00 "/>
    <s v=" $2,75,000.00 "/>
    <d v="2013-01-12T00:00:00"/>
    <n v="313500"/>
  </r>
  <r>
    <x v="44"/>
    <s v="Medium"/>
    <n v="1303"/>
    <n v="10"/>
    <n v="20"/>
    <n v="26060"/>
    <s v="$1,303.00"/>
    <n v="24757"/>
    <n v="13030"/>
    <d v="2014-01-02T00:00:00"/>
    <n v="24757"/>
  </r>
  <r>
    <x v="59"/>
    <s v="Medium"/>
    <n v="2992"/>
    <n v="10"/>
    <n v="125"/>
    <s v=" $3,74,000.00 "/>
    <s v="$18,700.00"/>
    <s v=" $3,55,300.00 "/>
    <s v=" $3,59,040.00 "/>
    <d v="2014-01-03T00:00:00"/>
    <n v="355300"/>
  </r>
  <r>
    <x v="60"/>
    <s v="Medium"/>
    <n v="2385"/>
    <n v="10"/>
    <n v="125"/>
    <s v=" $2,98,125.00 "/>
    <s v="$14,906.25"/>
    <s v=" $2,83,218.75 "/>
    <s v=" $2,86,200.00 "/>
    <d v="2014-01-03T00:00:00"/>
    <n v="283218.75"/>
  </r>
  <r>
    <x v="21"/>
    <s v="Medium"/>
    <n v="1607"/>
    <n v="10"/>
    <n v="300"/>
    <s v=" $4,82,100.00 "/>
    <s v="$24,105.00"/>
    <s v=" $4,57,995.00 "/>
    <s v=" $4,01,750.00 "/>
    <d v="2014-01-04T00:00:00"/>
    <n v="457995"/>
  </r>
  <r>
    <x v="22"/>
    <s v="Medium"/>
    <n v="2327"/>
    <n v="10"/>
    <n v="7"/>
    <n v="16289"/>
    <s v="$814.45"/>
    <n v="15474.55"/>
    <n v="11635"/>
    <d v="2014-01-05T00:00:00"/>
    <n v="15474.55"/>
  </r>
  <r>
    <x v="63"/>
    <s v="Medium"/>
    <n v="991"/>
    <n v="10"/>
    <n v="300"/>
    <s v=" $2,97,300.00 "/>
    <s v="$14,865.00"/>
    <s v=" $2,82,435.00 "/>
    <s v=" $2,47,750.00 "/>
    <d v="2014-01-06T00:00:00"/>
    <n v="282435"/>
  </r>
  <r>
    <x v="22"/>
    <s v="Medium"/>
    <n v="602"/>
    <n v="10"/>
    <n v="350"/>
    <s v=" $2,10,700.00 "/>
    <s v="$10,535.00"/>
    <s v=" $2,00,165.00 "/>
    <s v=" $1,56,520.00 "/>
    <d v="2014-01-06T00:00:00"/>
    <n v="200165"/>
  </r>
  <r>
    <x v="20"/>
    <s v="Medium"/>
    <n v="2620"/>
    <n v="10"/>
    <n v="15"/>
    <n v="39300"/>
    <s v="$1,965.00"/>
    <n v="37335"/>
    <n v="26200"/>
    <d v="2014-01-09T00:00:00"/>
    <n v="37335"/>
  </r>
  <r>
    <x v="14"/>
    <s v="Medium"/>
    <n v="1228"/>
    <n v="10"/>
    <n v="350"/>
    <s v=" $4,29,800.00 "/>
    <s v="$21,490.00"/>
    <s v=" $4,08,310.00 "/>
    <s v=" $3,19,280.00 "/>
    <d v="2013-01-10T00:00:00"/>
    <n v="408310"/>
  </r>
  <r>
    <x v="14"/>
    <s v="Medium"/>
    <n v="1389"/>
    <n v="10"/>
    <n v="20"/>
    <n v="27780"/>
    <s v="$1,389.00"/>
    <n v="26391"/>
    <n v="13890"/>
    <d v="2013-01-10T00:00:00"/>
    <n v="26391"/>
  </r>
  <r>
    <x v="59"/>
    <s v="Medium"/>
    <n v="861"/>
    <n v="10"/>
    <n v="125"/>
    <s v=" $1,07,625.00 "/>
    <s v="$5,381.25"/>
    <s v=" $1,02,243.75 "/>
    <s v=" $1,03,320.00 "/>
    <d v="2014-01-10T00:00:00"/>
    <n v="102243.75"/>
  </r>
  <r>
    <x v="60"/>
    <s v="Medium"/>
    <n v="704"/>
    <n v="10"/>
    <n v="125"/>
    <n v="88000"/>
    <s v="$4,400.00"/>
    <n v="83600"/>
    <n v="84480"/>
    <d v="2013-01-10T00:00:00"/>
    <n v="83600"/>
  </r>
  <r>
    <x v="14"/>
    <s v="Medium"/>
    <n v="1802"/>
    <n v="10"/>
    <n v="20"/>
    <n v="36040"/>
    <s v="$1,802.00"/>
    <n v="34238"/>
    <n v="18020"/>
    <d v="2013-01-12T00:00:00"/>
    <n v="34238"/>
  </r>
  <r>
    <x v="22"/>
    <s v="Medium"/>
    <n v="2663"/>
    <n v="10"/>
    <n v="20"/>
    <n v="53260"/>
    <s v="$2,663.00"/>
    <n v="50597"/>
    <n v="26630"/>
    <d v="2014-01-12T00:00:00"/>
    <n v="50597"/>
  </r>
  <r>
    <x v="44"/>
    <s v="Medium"/>
    <n v="2136"/>
    <n v="10"/>
    <n v="7"/>
    <n v="14952"/>
    <s v="$747.60"/>
    <n v="14204.4"/>
    <n v="10680"/>
    <d v="2013-01-12T00:00:00"/>
    <n v="14204.4"/>
  </r>
  <r>
    <x v="62"/>
    <s v="Medium"/>
    <n v="2116"/>
    <n v="10"/>
    <n v="15"/>
    <n v="31740"/>
    <s v="$1,587.00"/>
    <n v="30153"/>
    <n v="21160"/>
    <d v="2013-01-12T00:00:00"/>
    <n v="30153"/>
  </r>
  <r>
    <x v="115"/>
    <s v="Medium"/>
    <n v="555"/>
    <n v="120"/>
    <n v="15"/>
    <n v="8325"/>
    <s v="$416.25"/>
    <n v="7908.75"/>
    <n v="5550"/>
    <d v="2014-01-01T00:00:00"/>
    <n v="7908.75"/>
  </r>
  <r>
    <x v="116"/>
    <s v="Medium"/>
    <n v="2861"/>
    <n v="120"/>
    <n v="15"/>
    <n v="42915"/>
    <s v="$2,145.75"/>
    <n v="40769.25"/>
    <n v="28610"/>
    <d v="2014-01-01T00:00:00"/>
    <n v="40769.25"/>
  </r>
  <r>
    <x v="86"/>
    <s v="Medium"/>
    <n v="807"/>
    <n v="120"/>
    <n v="125"/>
    <s v=" $1,00,875.00 "/>
    <s v="$5,043.75"/>
    <n v="95831.25"/>
    <n v="96840"/>
    <d v="2014-01-02T00:00:00"/>
    <n v="95831.25"/>
  </r>
  <r>
    <x v="85"/>
    <s v="Medium"/>
    <n v="602"/>
    <n v="120"/>
    <n v="350"/>
    <s v=" $2,10,700.00 "/>
    <s v="$10,535.00"/>
    <s v=" $2,00,165.00 "/>
    <s v=" $1,56,520.00 "/>
    <d v="2014-01-06T00:00:00"/>
    <n v="200165"/>
  </r>
  <r>
    <x v="85"/>
    <s v="Medium"/>
    <n v="2832"/>
    <n v="120"/>
    <n v="20"/>
    <n v="56640"/>
    <s v="$2,832.00"/>
    <n v="53808"/>
    <n v="28320"/>
    <d v="2014-01-08T00:00:00"/>
    <n v="53808"/>
  </r>
  <r>
    <x v="45"/>
    <s v="Medium"/>
    <n v="1579"/>
    <n v="120"/>
    <n v="20"/>
    <n v="31580"/>
    <s v="$1,579.00"/>
    <n v="30001"/>
    <n v="15790"/>
    <d v="2014-01-08T00:00:00"/>
    <n v="30001"/>
  </r>
  <r>
    <x v="29"/>
    <s v="Medium"/>
    <n v="861"/>
    <n v="120"/>
    <n v="125"/>
    <s v=" $1,07,625.00 "/>
    <s v="$5,381.25"/>
    <s v=" $1,02,243.75 "/>
    <s v=" $1,03,320.00 "/>
    <d v="2014-01-10T00:00:00"/>
    <n v="102243.75"/>
  </r>
  <r>
    <x v="26"/>
    <s v="Medium"/>
    <n v="704"/>
    <n v="120"/>
    <n v="125"/>
    <n v="88000"/>
    <s v="$4,400.00"/>
    <n v="83600"/>
    <n v="84480"/>
    <d v="2013-01-10T00:00:00"/>
    <n v="83600"/>
  </r>
  <r>
    <x v="45"/>
    <s v="Medium"/>
    <n v="1033"/>
    <n v="120"/>
    <n v="20"/>
    <n v="20660"/>
    <s v="$1,033.00"/>
    <n v="19627"/>
    <n v="10330"/>
    <d v="2013-01-12T00:00:00"/>
    <n v="19627"/>
  </r>
  <r>
    <x v="117"/>
    <s v="Medium"/>
    <n v="1250"/>
    <n v="120"/>
    <n v="300"/>
    <s v=" $3,75,000.00 "/>
    <s v="$18,750.00"/>
    <s v=" $3,56,250.00 "/>
    <s v=" $3,12,500.00 "/>
    <d v="2014-01-12T00:00:00"/>
    <n v="356250"/>
  </r>
  <r>
    <x v="37"/>
    <s v="Medium"/>
    <n v="1389"/>
    <n v="250"/>
    <n v="20"/>
    <n v="27780"/>
    <s v="$1,389.00"/>
    <n v="26391"/>
    <n v="13890"/>
    <d v="2013-01-10T00:00:00"/>
    <n v="26391"/>
  </r>
  <r>
    <x v="92"/>
    <s v="Medium"/>
    <n v="1265"/>
    <n v="250"/>
    <n v="20"/>
    <n v="25300"/>
    <s v="$1,265.00"/>
    <n v="24035"/>
    <n v="12650"/>
    <d v="2013-01-11T00:00:00"/>
    <n v="24035"/>
  </r>
  <r>
    <x v="65"/>
    <s v="Medium"/>
    <n v="2297"/>
    <n v="250"/>
    <n v="20"/>
    <n v="45940"/>
    <s v="$2,297.00"/>
    <n v="43643"/>
    <n v="22970"/>
    <d v="2013-01-11T00:00:00"/>
    <n v="43643"/>
  </r>
  <r>
    <x v="92"/>
    <s v="Medium"/>
    <n v="2663"/>
    <n v="250"/>
    <n v="20"/>
    <n v="53260"/>
    <s v="$2,663.00"/>
    <n v="50597"/>
    <n v="26630"/>
    <d v="2014-01-12T00:00:00"/>
    <n v="50597"/>
  </r>
  <r>
    <x v="92"/>
    <s v="Medium"/>
    <n v="570"/>
    <n v="250"/>
    <n v="7"/>
    <n v="3990"/>
    <s v="$199.50"/>
    <n v="3790.5"/>
    <n v="2850"/>
    <d v="2014-01-12T00:00:00"/>
    <n v="3790.5"/>
  </r>
  <r>
    <x v="35"/>
    <s v="Medium"/>
    <n v="2487"/>
    <n v="250"/>
    <n v="7"/>
    <n v="17409"/>
    <s v="$870.45"/>
    <n v="16538.55"/>
    <n v="12435"/>
    <d v="2014-01-12T00:00:00"/>
    <n v="16538.55"/>
  </r>
  <r>
    <x v="41"/>
    <s v="Medium"/>
    <n v="1350"/>
    <n v="260"/>
    <n v="350"/>
    <s v=" $4,72,500.00 "/>
    <s v="$23,625.00"/>
    <s v=" $4,48,875.00 "/>
    <s v=" $3,51,000.00 "/>
    <d v="2014-01-02T00:00:00"/>
    <n v="448875"/>
  </r>
  <r>
    <x v="110"/>
    <s v="Medium"/>
    <n v="552"/>
    <n v="260"/>
    <n v="350"/>
    <s v=" $1,93,200.00 "/>
    <s v="$9,660.00"/>
    <s v=" $1,83,540.00 "/>
    <s v=" $1,43,520.00 "/>
    <d v="2014-01-08T00:00:00"/>
    <n v="183540"/>
  </r>
  <r>
    <x v="110"/>
    <s v="Medium"/>
    <n v="1228"/>
    <n v="260"/>
    <n v="350"/>
    <s v=" $4,29,800.00 "/>
    <s v="$21,490.00"/>
    <s v=" $4,08,310.00 "/>
    <s v=" $3,19,280.00 "/>
    <d v="2013-01-10T00:00:00"/>
    <n v="408310"/>
  </r>
  <r>
    <x v="93"/>
    <s v="Medium"/>
    <n v="1250"/>
    <n v="260"/>
    <n v="300"/>
    <s v=" $3,75,000.00 "/>
    <s v="$18,750.00"/>
    <s v=" $3,56,250.00 "/>
    <s v=" $3,12,500.00 "/>
    <d v="2014-01-12T00:00:00"/>
    <n v="356250"/>
  </r>
  <r>
    <x v="20"/>
    <s v="Medium"/>
    <n v="3801"/>
    <n v="10"/>
    <n v="15"/>
    <n v="57015"/>
    <s v="$3,420.90"/>
    <n v="53594.1"/>
    <n v="38010"/>
    <d v="2014-01-04T00:00:00"/>
    <n v="53594.1"/>
  </r>
  <r>
    <x v="48"/>
    <s v="Medium"/>
    <n v="1117.5"/>
    <n v="3"/>
    <n v="20"/>
    <n v="22350"/>
    <s v="$1,341.00"/>
    <n v="21009"/>
    <n v="11175"/>
    <d v="2014-01-01T00:00:00"/>
    <n v="21009"/>
  </r>
  <r>
    <x v="118"/>
    <s v="Medium"/>
    <n v="2844"/>
    <n v="3"/>
    <n v="15"/>
    <n v="42660"/>
    <s v="$2,559.60"/>
    <n v="40100.400000000001"/>
    <n v="28440"/>
    <d v="2014-01-06T00:00:00"/>
    <n v="40100.400000000001"/>
  </r>
  <r>
    <x v="119"/>
    <s v="Medium"/>
    <n v="562"/>
    <n v="3"/>
    <n v="12"/>
    <n v="6744"/>
    <s v="$404.64"/>
    <n v="6339.36"/>
    <n v="1686"/>
    <d v="2014-01-09T00:00:00"/>
    <n v="6339.36"/>
  </r>
  <r>
    <x v="49"/>
    <s v="Medium"/>
    <n v="2299"/>
    <n v="3"/>
    <n v="12"/>
    <n v="27588"/>
    <s v="$1,655.28"/>
    <n v="25932.720000000001"/>
    <n v="6897"/>
    <d v="2013-01-10T00:00:00"/>
    <n v="25932.720000000001"/>
  </r>
  <r>
    <x v="120"/>
    <s v="Medium"/>
    <n v="2030"/>
    <n v="3"/>
    <n v="15"/>
    <n v="30450"/>
    <s v="$1,827.00"/>
    <n v="28623"/>
    <n v="20300"/>
    <d v="2014-01-11T00:00:00"/>
    <n v="28623"/>
  </r>
  <r>
    <x v="48"/>
    <s v="Medium"/>
    <n v="263"/>
    <n v="3"/>
    <n v="7"/>
    <n v="1841"/>
    <s v="$110.46"/>
    <n v="1730.54"/>
    <n v="1315"/>
    <d v="2013-01-11T00:00:00"/>
    <n v="1730.54"/>
  </r>
  <r>
    <x v="121"/>
    <s v="Medium"/>
    <n v="887"/>
    <n v="3"/>
    <n v="125"/>
    <s v=" $1,10,875.00 "/>
    <s v="$6,652.50"/>
    <s v=" $1,04,222.50 "/>
    <s v=" $1,06,440.00 "/>
    <d v="2013-01-12T00:00:00"/>
    <n v="104222.5"/>
  </r>
  <r>
    <x v="114"/>
    <s v="Medium"/>
    <n v="980"/>
    <n v="5"/>
    <n v="350"/>
    <s v=" $3,43,000.00 "/>
    <s v="$20,580.00"/>
    <s v=" $3,22,420.00 "/>
    <s v=" $2,54,800.00 "/>
    <d v="2014-01-04T00:00:00"/>
    <n v="322420"/>
  </r>
  <r>
    <x v="12"/>
    <s v="Medium"/>
    <n v="1460"/>
    <n v="5"/>
    <n v="350"/>
    <s v=" $5,11,000.00 "/>
    <s v="$30,660.00"/>
    <s v=" $4,80,340.00 "/>
    <s v=" $3,79,600.00 "/>
    <d v="2014-01-05T00:00:00"/>
    <n v="480340"/>
  </r>
  <r>
    <x v="7"/>
    <s v="Medium"/>
    <n v="1403"/>
    <n v="5"/>
    <n v="7"/>
    <n v="9821"/>
    <s v="$589.26"/>
    <n v="9231.74"/>
    <n v="7015"/>
    <d v="2013-01-10T00:00:00"/>
    <n v="9231.74"/>
  </r>
  <r>
    <x v="74"/>
    <s v="Medium"/>
    <n v="2723"/>
    <n v="5"/>
    <n v="12"/>
    <n v="32676"/>
    <s v="$1,960.56"/>
    <n v="30715.439999999999"/>
    <n v="8169"/>
    <d v="2014-01-11T00:00:00"/>
    <n v="30715.439999999999"/>
  </r>
  <r>
    <x v="44"/>
    <s v="Medium"/>
    <n v="1496"/>
    <n v="10"/>
    <n v="350"/>
    <s v=" $5,23,600.00 "/>
    <s v="$31,416.00"/>
    <s v=" $4,92,184.00 "/>
    <s v=" $3,88,960.00 "/>
    <d v="2014-01-06T00:00:00"/>
    <n v="492184"/>
  </r>
  <r>
    <x v="16"/>
    <s v="Medium"/>
    <n v="2299"/>
    <n v="10"/>
    <n v="12"/>
    <n v="27588"/>
    <s v="$1,655.28"/>
    <n v="25932.720000000001"/>
    <n v="6897"/>
    <d v="2013-01-10T00:00:00"/>
    <n v="25932.720000000001"/>
  </r>
  <r>
    <x v="22"/>
    <s v="Medium"/>
    <n v="727"/>
    <n v="10"/>
    <n v="350"/>
    <s v=" $2,54,450.00 "/>
    <s v="$15,267.00"/>
    <s v=" $2,39,183.00 "/>
    <s v=" $1,89,020.00 "/>
    <d v="2013-01-10T00:00:00"/>
    <n v="239183"/>
  </r>
  <r>
    <x v="30"/>
    <s v="Medium"/>
    <n v="952"/>
    <n v="120"/>
    <n v="125"/>
    <s v=" $1,19,000.00 "/>
    <s v="$7,140.00"/>
    <s v=" $1,11,860.00 "/>
    <s v=" $1,14,240.00 "/>
    <d v="2014-01-02T00:00:00"/>
    <n v="111860"/>
  </r>
  <r>
    <x v="29"/>
    <s v="Medium"/>
    <n v="2755"/>
    <n v="120"/>
    <n v="125"/>
    <s v=" $3,44,375.00 "/>
    <s v="$20,662.50"/>
    <s v=" $3,23,712.50 "/>
    <s v=" $3,30,600.00 "/>
    <d v="2014-01-02T00:00:00"/>
    <n v="323712.5"/>
  </r>
  <r>
    <x v="122"/>
    <s v="Medium"/>
    <n v="1530"/>
    <n v="120"/>
    <n v="15"/>
    <n v="22950"/>
    <s v="$1,377.00"/>
    <n v="21573"/>
    <n v="15300"/>
    <d v="2014-01-05T00:00:00"/>
    <n v="21573"/>
  </r>
  <r>
    <x v="45"/>
    <s v="Medium"/>
    <n v="1496"/>
    <n v="120"/>
    <n v="350"/>
    <s v=" $5,23,600.00 "/>
    <s v="$31,416.00"/>
    <s v=" $4,92,184.00 "/>
    <s v=" $3,88,960.00 "/>
    <d v="2014-01-06T00:00:00"/>
    <n v="492184"/>
  </r>
  <r>
    <x v="25"/>
    <s v="Medium"/>
    <n v="1498"/>
    <n v="120"/>
    <n v="7"/>
    <n v="10486"/>
    <s v="$629.16"/>
    <n v="9856.84"/>
    <n v="7490"/>
    <d v="2014-01-06T00:00:00"/>
    <n v="9856.84"/>
  </r>
  <r>
    <x v="123"/>
    <s v="Medium"/>
    <n v="1221"/>
    <n v="120"/>
    <n v="300"/>
    <s v=" $3,66,300.00 "/>
    <s v="$21,978.00"/>
    <s v=" $3,44,322.00 "/>
    <s v=" $3,05,250.00 "/>
    <d v="2013-01-10T00:00:00"/>
    <n v="344322"/>
  </r>
  <r>
    <x v="45"/>
    <s v="Medium"/>
    <n v="2076"/>
    <n v="120"/>
    <n v="350"/>
    <s v=" $7,26,600.00 "/>
    <s v="$43,596.00"/>
    <s v=" $6,83,004.00 "/>
    <s v=" $5,39,760.00 "/>
    <d v="2013-01-10T00:00:00"/>
    <n v="683004"/>
  </r>
  <r>
    <x v="124"/>
    <s v="Medium"/>
    <n v="2844"/>
    <n v="250"/>
    <n v="15"/>
    <n v="42660"/>
    <s v="$2,559.60"/>
    <n v="40100.400000000001"/>
    <n v="28440"/>
    <d v="2014-01-06T00:00:00"/>
    <n v="40100.400000000001"/>
  </r>
  <r>
    <x v="70"/>
    <s v="Medium"/>
    <n v="1498"/>
    <n v="250"/>
    <n v="7"/>
    <n v="10486"/>
    <s v="$629.16"/>
    <n v="9856.84"/>
    <n v="7490"/>
    <d v="2014-01-06T00:00:00"/>
    <n v="9856.84"/>
  </r>
  <r>
    <x v="36"/>
    <s v="Medium"/>
    <n v="1221"/>
    <n v="250"/>
    <n v="300"/>
    <s v=" $3,66,300.00 "/>
    <s v="$21,978.00"/>
    <s v=" $3,44,322.00 "/>
    <s v=" $3,05,250.00 "/>
    <d v="2013-01-10T00:00:00"/>
    <n v="344322"/>
  </r>
  <r>
    <x v="70"/>
    <s v="Medium"/>
    <n v="1123"/>
    <n v="250"/>
    <n v="20"/>
    <n v="22460"/>
    <s v="$1,347.60"/>
    <n v="21112.400000000001"/>
    <n v="11230"/>
    <d v="2013-01-11T00:00:00"/>
    <n v="21112.400000000001"/>
  </r>
  <r>
    <x v="31"/>
    <s v="Medium"/>
    <n v="2436"/>
    <n v="250"/>
    <n v="300"/>
    <s v=" $7,30,800.00 "/>
    <s v="$43,848.00"/>
    <s v=" $6,86,952.00 "/>
    <s v=" $6,09,000.00 "/>
    <d v="2013-01-12T00:00:00"/>
    <n v="686952"/>
  </r>
  <r>
    <x v="125"/>
    <s v="Medium"/>
    <n v="1987.5"/>
    <n v="260"/>
    <n v="125"/>
    <s v=" $2,48,437.50 "/>
    <s v="$14,906.25"/>
    <s v=" $2,33,531.25 "/>
    <s v=" $2,38,500.00 "/>
    <d v="2014-01-01T00:00:00"/>
    <n v="233531.25"/>
  </r>
  <r>
    <x v="108"/>
    <s v="Medium"/>
    <n v="1679"/>
    <n v="260"/>
    <n v="350"/>
    <s v=" $5,87,650.00 "/>
    <s v="$35,259.00"/>
    <s v=" $5,52,391.00 "/>
    <s v=" $4,36,540.00 "/>
    <d v="2014-01-09T00:00:00"/>
    <n v="552391"/>
  </r>
  <r>
    <x v="42"/>
    <s v="Medium"/>
    <n v="727"/>
    <n v="260"/>
    <n v="350"/>
    <s v=" $2,54,450.00 "/>
    <s v="$15,267.00"/>
    <s v=" $2,39,183.00 "/>
    <s v=" $1,89,020.00 "/>
    <d v="2013-01-10T00:00:00"/>
    <n v="239183"/>
  </r>
  <r>
    <x v="38"/>
    <s v="Medium"/>
    <n v="1403"/>
    <n v="260"/>
    <n v="7"/>
    <n v="9821"/>
    <s v="$589.26"/>
    <n v="9231.74"/>
    <n v="7015"/>
    <d v="2013-01-10T00:00:00"/>
    <n v="9231.74"/>
  </r>
  <r>
    <x v="38"/>
    <s v="Medium"/>
    <n v="2076"/>
    <n v="260"/>
    <n v="350"/>
    <s v=" $7,26,600.00 "/>
    <s v="$43,596.00"/>
    <s v=" $6,83,004.00 "/>
    <s v=" $5,39,760.00 "/>
    <d v="2013-01-10T00:00:00"/>
    <n v="683004"/>
  </r>
  <r>
    <x v="7"/>
    <s v="Medium"/>
    <n v="1757"/>
    <n v="5"/>
    <n v="20"/>
    <n v="35140"/>
    <s v="$2,108.40"/>
    <n v="33031.599999999999"/>
    <n v="17570"/>
    <d v="2013-01-10T00:00:00"/>
    <n v="33031.599999999999"/>
  </r>
  <r>
    <x v="58"/>
    <s v="Medium"/>
    <n v="2198"/>
    <n v="10"/>
    <n v="15"/>
    <n v="32970"/>
    <s v="$1,978.20"/>
    <n v="30991.8"/>
    <n v="21980"/>
    <d v="2014-01-08T00:00:00"/>
    <n v="30991.8"/>
  </r>
  <r>
    <x v="62"/>
    <s v="Medium"/>
    <n v="1743"/>
    <n v="10"/>
    <n v="15"/>
    <n v="26145"/>
    <s v="$1,568.70"/>
    <n v="24576.3"/>
    <n v="17430"/>
    <d v="2014-01-08T00:00:00"/>
    <n v="24576.3"/>
  </r>
  <r>
    <x v="58"/>
    <s v="Medium"/>
    <n v="1153"/>
    <n v="10"/>
    <n v="15"/>
    <n v="17295"/>
    <s v="$1,037.70"/>
    <n v="16257.3"/>
    <n v="11530"/>
    <d v="2014-01-10T00:00:00"/>
    <n v="16257.3"/>
  </r>
  <r>
    <x v="44"/>
    <s v="Medium"/>
    <n v="1757"/>
    <n v="10"/>
    <n v="20"/>
    <n v="35140"/>
    <s v="$2,108.40"/>
    <n v="33031.599999999999"/>
    <n v="17570"/>
    <d v="2013-01-10T00:00:00"/>
    <n v="33031.599999999999"/>
  </r>
  <r>
    <x v="28"/>
    <s v="Medium"/>
    <n v="1001"/>
    <n v="120"/>
    <n v="20"/>
    <n v="20020"/>
    <s v="$1,201.20"/>
    <n v="18818.8"/>
    <n v="10010"/>
    <d v="2014-01-08T00:00:00"/>
    <n v="18818.8"/>
  </r>
  <r>
    <x v="25"/>
    <s v="Medium"/>
    <n v="1333"/>
    <n v="120"/>
    <n v="7"/>
    <n v="9331"/>
    <s v="$559.86"/>
    <n v="8771.14"/>
    <n v="6665"/>
    <d v="2014-01-11T00:00:00"/>
    <n v="8771.14"/>
  </r>
  <r>
    <x v="126"/>
    <s v="Medium"/>
    <n v="1153"/>
    <n v="250"/>
    <n v="15"/>
    <n v="17295"/>
    <s v="$1,037.70"/>
    <n v="16257.3"/>
    <n v="11530"/>
    <d v="2014-01-10T00:00:00"/>
    <n v="16257.3"/>
  </r>
  <r>
    <x v="119"/>
    <s v="Medium"/>
    <n v="727"/>
    <n v="3"/>
    <n v="12"/>
    <n v="8724"/>
    <s v="$610.68"/>
    <n v="8113.32"/>
    <n v="2181"/>
    <d v="2014-01-02T00:00:00"/>
    <n v="8113.32"/>
  </r>
  <r>
    <x v="49"/>
    <s v="Medium"/>
    <n v="1884"/>
    <n v="3"/>
    <n v="12"/>
    <n v="22608"/>
    <s v="$1,582.56"/>
    <n v="21025.439999999999"/>
    <n v="5652"/>
    <d v="2014-01-08T00:00:00"/>
    <n v="21025.439999999999"/>
  </r>
  <r>
    <x v="47"/>
    <s v="Medium"/>
    <n v="1834"/>
    <n v="3"/>
    <n v="20"/>
    <n v="36680"/>
    <s v="$2,567.60"/>
    <n v="34112.400000000001"/>
    <n v="18340"/>
    <d v="2013-01-09T00:00:00"/>
    <n v="34112.400000000001"/>
  </r>
  <r>
    <x v="76"/>
    <s v="Medium"/>
    <n v="2340"/>
    <n v="5"/>
    <n v="12"/>
    <n v="28080"/>
    <s v="$1,965.60"/>
    <n v="26114.400000000001"/>
    <n v="7020"/>
    <d v="2014-01-01T00:00:00"/>
    <n v="26114.400000000001"/>
  </r>
  <r>
    <x v="97"/>
    <s v="Medium"/>
    <n v="2342"/>
    <n v="5"/>
    <n v="12"/>
    <n v="28104"/>
    <s v="$1,967.28"/>
    <n v="26136.720000000001"/>
    <n v="7026"/>
    <d v="2014-01-11T00:00:00"/>
    <n v="26136.720000000001"/>
  </r>
  <r>
    <x v="44"/>
    <s v="Medium"/>
    <n v="1031"/>
    <n v="10"/>
    <n v="7"/>
    <n v="7217"/>
    <s v="$505.19"/>
    <n v="6711.81"/>
    <n v="5155"/>
    <d v="2013-01-09T00:00:00"/>
    <n v="6711.81"/>
  </r>
  <r>
    <x v="127"/>
    <s v="Medium"/>
    <n v="1262"/>
    <n v="120"/>
    <n v="15"/>
    <n v="18930"/>
    <s v="$1,325.10"/>
    <n v="17604.900000000001"/>
    <n v="12620"/>
    <d v="2014-01-05T00:00:00"/>
    <n v="17604.900000000001"/>
  </r>
  <r>
    <x v="64"/>
    <s v="Medium"/>
    <n v="1135"/>
    <n v="120"/>
    <n v="7"/>
    <n v="7945"/>
    <s v="$556.15"/>
    <n v="7388.85"/>
    <n v="5675"/>
    <d v="2014-01-06T00:00:00"/>
    <n v="7388.85"/>
  </r>
  <r>
    <x v="85"/>
    <s v="Medium"/>
    <n v="547"/>
    <n v="120"/>
    <n v="7"/>
    <n v="3829"/>
    <s v="$268.03"/>
    <n v="3560.97"/>
    <n v="2735"/>
    <d v="2014-01-11T00:00:00"/>
    <n v="3560.97"/>
  </r>
  <r>
    <x v="64"/>
    <s v="Medium"/>
    <n v="1582"/>
    <n v="120"/>
    <n v="7"/>
    <n v="11074"/>
    <s v="$775.18"/>
    <n v="10298.82"/>
    <n v="7910"/>
    <d v="2014-01-12T00:00:00"/>
    <n v="10298.82"/>
  </r>
  <r>
    <x v="106"/>
    <s v="Medium"/>
    <n v="1738.5"/>
    <n v="250"/>
    <n v="12"/>
    <n v="20862"/>
    <s v="$1,460.34"/>
    <n v="19401.66"/>
    <n v="5215.5"/>
    <d v="2014-01-04T00:00:00"/>
    <n v="19401.66"/>
  </r>
  <r>
    <x v="32"/>
    <s v="Medium"/>
    <n v="2215"/>
    <n v="250"/>
    <n v="12"/>
    <n v="26580"/>
    <s v="$1,860.60"/>
    <n v="24719.4"/>
    <n v="6645"/>
    <d v="2013-01-09T00:00:00"/>
    <n v="24719.4"/>
  </r>
  <r>
    <x v="37"/>
    <s v="Medium"/>
    <n v="1582"/>
    <n v="250"/>
    <n v="7"/>
    <n v="11074"/>
    <s v="$775.18"/>
    <n v="10298.82"/>
    <n v="7910"/>
    <d v="2014-01-12T00:00:00"/>
    <n v="10298.82"/>
  </r>
  <r>
    <x v="110"/>
    <s v="Medium"/>
    <n v="1135"/>
    <n v="260"/>
    <n v="7"/>
    <n v="7945"/>
    <s v="$556.15"/>
    <n v="7388.85"/>
    <n v="5675"/>
    <d v="2014-01-06T00:00:00"/>
    <n v="7388.85"/>
  </r>
  <r>
    <x v="48"/>
    <s v="Medium"/>
    <n v="1761"/>
    <n v="3"/>
    <n v="350"/>
    <s v=" $6,16,350.00 "/>
    <s v="$43,144.50"/>
    <s v=" $5,73,205.50 "/>
    <s v=" $4,57,860.00 "/>
    <d v="2014-01-03T00:00:00"/>
    <n v="573205.5"/>
  </r>
  <r>
    <x v="128"/>
    <s v="Medium"/>
    <n v="448"/>
    <n v="3"/>
    <n v="300"/>
    <s v=" $1,34,400.00 "/>
    <s v="$9,408.00"/>
    <s v=" $1,24,992.00 "/>
    <s v=" $1,12,000.00 "/>
    <d v="2014-01-06T00:00:00"/>
    <n v="124992"/>
  </r>
  <r>
    <x v="128"/>
    <s v="Medium"/>
    <n v="2181"/>
    <n v="3"/>
    <n v="300"/>
    <s v=" $6,54,300.00 "/>
    <s v="$45,801.00"/>
    <s v=" $6,08,499.00 "/>
    <s v=" $5,45,250.00 "/>
    <d v="2014-01-10T00:00:00"/>
    <n v="608499"/>
  </r>
  <r>
    <x v="7"/>
    <s v="Medium"/>
    <n v="1976"/>
    <n v="5"/>
    <n v="20"/>
    <n v="39520"/>
    <s v="$2,766.40"/>
    <n v="36753.599999999999"/>
    <n v="19760"/>
    <d v="2014-01-10T00:00:00"/>
    <n v="36753.599999999999"/>
  </r>
  <r>
    <x v="129"/>
    <s v="Medium"/>
    <n v="2181"/>
    <n v="5"/>
    <n v="300"/>
    <s v=" $6,54,300.00 "/>
    <s v="$45,801.00"/>
    <s v=" $6,08,499.00 "/>
    <s v=" $5,45,250.00 "/>
    <d v="2014-01-10T00:00:00"/>
    <n v="608499"/>
  </r>
  <r>
    <x v="99"/>
    <s v="Medium"/>
    <n v="2500"/>
    <n v="5"/>
    <n v="125"/>
    <s v=" $3,12,500.00 "/>
    <s v="$21,875.00"/>
    <s v=" $2,90,625.00 "/>
    <s v=" $3,00,000.00 "/>
    <d v="2013-01-11T00:00:00"/>
    <n v="290625"/>
  </r>
  <r>
    <x v="82"/>
    <s v="Medium"/>
    <n v="1702"/>
    <n v="10"/>
    <n v="300"/>
    <s v=" $5,10,600.00 "/>
    <s v="$35,742.00"/>
    <s v=" $4,74,858.00 "/>
    <s v=" $4,25,500.00 "/>
    <d v="2014-01-05T00:00:00"/>
    <n v="474858"/>
  </r>
  <r>
    <x v="78"/>
    <s v="Medium"/>
    <n v="448"/>
    <n v="10"/>
    <n v="300"/>
    <s v=" $1,34,400.00 "/>
    <s v="$9,408.00"/>
    <s v=" $1,24,992.00 "/>
    <s v=" $1,12,000.00 "/>
    <d v="2014-01-06T00:00:00"/>
    <n v="124992"/>
  </r>
  <r>
    <x v="80"/>
    <s v="Medium"/>
    <n v="3513"/>
    <n v="10"/>
    <n v="125"/>
    <s v=" $4,39,125.00 "/>
    <s v="$30,738.75"/>
    <s v=" $4,08,386.25 "/>
    <s v=" $4,21,560.00 "/>
    <d v="2014-01-07T00:00:00"/>
    <n v="408386.25"/>
  </r>
  <r>
    <x v="20"/>
    <s v="Medium"/>
    <n v="2101"/>
    <n v="10"/>
    <n v="15"/>
    <n v="31515"/>
    <s v="$2,206.05"/>
    <n v="29308.95"/>
    <n v="21010"/>
    <d v="2014-01-08T00:00:00"/>
    <n v="29308.95"/>
  </r>
  <r>
    <x v="58"/>
    <s v="Medium"/>
    <n v="2931"/>
    <n v="10"/>
    <n v="15"/>
    <n v="43965"/>
    <s v="$3,077.55"/>
    <n v="40887.449999999997"/>
    <n v="29310"/>
    <d v="2013-01-09T00:00:00"/>
    <n v="40887.449999999997"/>
  </r>
  <r>
    <x v="44"/>
    <s v="Medium"/>
    <n v="1535"/>
    <n v="10"/>
    <n v="20"/>
    <n v="30700"/>
    <s v="$2,149.00"/>
    <n v="28551"/>
    <n v="15350"/>
    <d v="2014-01-09T00:00:00"/>
    <n v="28551"/>
  </r>
  <r>
    <x v="79"/>
    <s v="Medium"/>
    <n v="1123"/>
    <n v="10"/>
    <n v="300"/>
    <s v=" $3,36,900.00 "/>
    <s v="$23,583.00"/>
    <s v=" $3,13,317.00 "/>
    <s v=" $2,80,750.00 "/>
    <d v="2013-01-09T00:00:00"/>
    <n v="313317"/>
  </r>
  <r>
    <x v="82"/>
    <s v="Medium"/>
    <n v="1404"/>
    <n v="10"/>
    <n v="300"/>
    <s v=" $4,21,200.00 "/>
    <s v="$29,484.00"/>
    <s v=" $3,91,716.00 "/>
    <s v=" $3,51,000.00 "/>
    <d v="2013-01-11T00:00:00"/>
    <n v="391716"/>
  </r>
  <r>
    <x v="84"/>
    <s v="Medium"/>
    <n v="2763"/>
    <n v="10"/>
    <n v="12"/>
    <n v="33156"/>
    <s v="$2,320.92"/>
    <n v="30835.08"/>
    <n v="8289"/>
    <d v="2013-01-11T00:00:00"/>
    <n v="30835.08"/>
  </r>
  <r>
    <x v="17"/>
    <s v="Medium"/>
    <n v="2125"/>
    <n v="10"/>
    <n v="7"/>
    <n v="14875"/>
    <s v="$1,041.25"/>
    <n v="13833.75"/>
    <n v="10625"/>
    <d v="2013-01-12T00:00:00"/>
    <n v="13833.75"/>
  </r>
  <r>
    <x v="123"/>
    <s v="Medium"/>
    <n v="1659"/>
    <n v="120"/>
    <n v="300"/>
    <s v=" $4,97,700.00 "/>
    <s v="$34,839.00"/>
    <s v=" $4,62,861.00 "/>
    <s v=" $4,14,750.00 "/>
    <d v="2014-01-07T00:00:00"/>
    <n v="462861"/>
  </r>
  <r>
    <x v="25"/>
    <s v="Medium"/>
    <n v="609"/>
    <n v="120"/>
    <n v="20"/>
    <n v="12180"/>
    <s v="$852.60"/>
    <n v="11327.4"/>
    <n v="6090"/>
    <d v="2014-01-08T00:00:00"/>
    <n v="11327.4"/>
  </r>
  <r>
    <x v="86"/>
    <s v="Medium"/>
    <n v="2087"/>
    <n v="120"/>
    <n v="125"/>
    <s v=" $2,60,875.00 "/>
    <s v="$18,261.25"/>
    <s v=" $2,42,613.75 "/>
    <s v=" $2,50,440.00 "/>
    <d v="2014-01-09T00:00:00"/>
    <n v="242613.75"/>
  </r>
  <r>
    <x v="45"/>
    <s v="Medium"/>
    <n v="1976"/>
    <n v="120"/>
    <n v="20"/>
    <n v="39520"/>
    <s v="$2,766.40"/>
    <n v="36753.599999999999"/>
    <n v="19760"/>
    <d v="2014-01-10T00:00:00"/>
    <n v="36753.599999999999"/>
  </r>
  <r>
    <x v="85"/>
    <s v="Medium"/>
    <n v="1421"/>
    <n v="120"/>
    <n v="20"/>
    <n v="28420"/>
    <s v="$1,989.40"/>
    <n v="26430.6"/>
    <n v="14210"/>
    <d v="2013-01-12T00:00:00"/>
    <n v="26430.6"/>
  </r>
  <r>
    <x v="130"/>
    <s v="Medium"/>
    <n v="1372"/>
    <n v="120"/>
    <n v="300"/>
    <s v=" $4,11,600.00 "/>
    <s v="$28,812.00"/>
    <s v=" $3,82,788.00 "/>
    <s v=" $3,43,000.00 "/>
    <d v="2014-01-12T00:00:00"/>
    <n v="382788"/>
  </r>
  <r>
    <x v="28"/>
    <s v="Medium"/>
    <n v="588"/>
    <n v="120"/>
    <n v="20"/>
    <n v="11760"/>
    <s v="$823.20"/>
    <n v="10936.8"/>
    <n v="5880"/>
    <d v="2013-01-12T00:00:00"/>
    <n v="10936.8"/>
  </r>
  <r>
    <x v="131"/>
    <s v="Medium"/>
    <n v="3244.5"/>
    <n v="250"/>
    <n v="12"/>
    <n v="38934"/>
    <s v="$2,725.38"/>
    <n v="36208.620000000003"/>
    <n v="9733.5"/>
    <d v="2014-01-01T00:00:00"/>
    <n v="36208.620000000003"/>
  </r>
  <r>
    <x v="36"/>
    <s v="Medium"/>
    <n v="959"/>
    <n v="250"/>
    <n v="300"/>
    <s v=" $2,87,700.00 "/>
    <s v="$20,139.00"/>
    <s v=" $2,67,561.00 "/>
    <s v=" $2,39,750.00 "/>
    <d v="2014-01-02T00:00:00"/>
    <n v="267561"/>
  </r>
  <r>
    <x v="69"/>
    <s v="Medium"/>
    <n v="2747"/>
    <n v="250"/>
    <n v="300"/>
    <s v=" $8,24,100.00 "/>
    <s v="$57,687.00"/>
    <s v=" $7,66,413.00 "/>
    <s v=" $6,86,750.00 "/>
    <d v="2014-01-02T00:00:00"/>
    <n v="766413"/>
  </r>
  <r>
    <x v="132"/>
    <s v="Medium"/>
    <n v="1645"/>
    <n v="260"/>
    <n v="125"/>
    <s v=" $2,05,625.00 "/>
    <s v="$14,393.75"/>
    <s v=" $1,91,231.25 "/>
    <s v=" $1,97,400.00 "/>
    <d v="2014-01-05T00:00:00"/>
    <n v="191231.25"/>
  </r>
  <r>
    <x v="38"/>
    <s v="Medium"/>
    <n v="2876"/>
    <n v="260"/>
    <n v="350"/>
    <s v=" $10,06,600.00 "/>
    <s v="$70,462.00"/>
    <s v=" $9,36,138.00 "/>
    <s v=" $7,47,760.00 "/>
    <d v="2014-01-09T00:00:00"/>
    <n v="936138"/>
  </r>
  <r>
    <x v="40"/>
    <s v="Medium"/>
    <n v="994"/>
    <n v="260"/>
    <n v="125"/>
    <s v=" $1,24,250.00 "/>
    <s v="$8,697.50"/>
    <s v=" $1,15,552.50 "/>
    <s v=" $1,19,280.00 "/>
    <d v="2013-01-09T00:00:00"/>
    <n v="115552.5"/>
  </r>
  <r>
    <x v="110"/>
    <s v="Medium"/>
    <n v="1118"/>
    <n v="260"/>
    <n v="20"/>
    <n v="22360"/>
    <s v="$1,565.20"/>
    <n v="20794.8"/>
    <n v="11180"/>
    <d v="2014-01-11T00:00:00"/>
    <n v="20794.8"/>
  </r>
  <r>
    <x v="133"/>
    <s v="Medium"/>
    <n v="1372"/>
    <n v="260"/>
    <n v="300"/>
    <s v=" $4,11,600.00 "/>
    <s v="$28,812.00"/>
    <s v=" $3,82,788.00 "/>
    <s v=" $3,43,000.00 "/>
    <d v="2014-01-12T00:00:00"/>
    <n v="382788"/>
  </r>
  <r>
    <x v="56"/>
    <s v="Medium"/>
    <n v="488"/>
    <n v="5"/>
    <n v="7"/>
    <n v="3416"/>
    <s v="$273.28"/>
    <n v="3142.72"/>
    <n v="2440"/>
    <d v="2014-01-02T00:00:00"/>
    <n v="3142.72"/>
  </r>
  <r>
    <x v="75"/>
    <s v="Medium"/>
    <n v="1282"/>
    <n v="5"/>
    <n v="20"/>
    <n v="25640"/>
    <s v="$2,051.20"/>
    <n v="23588.799999999999"/>
    <n v="12820"/>
    <d v="2014-01-06T00:00:00"/>
    <n v="23588.799999999999"/>
  </r>
  <r>
    <x v="14"/>
    <s v="Medium"/>
    <n v="257"/>
    <n v="10"/>
    <n v="7"/>
    <n v="1799"/>
    <s v="$143.92"/>
    <n v="1655.08"/>
    <n v="1285"/>
    <d v="2014-01-05T00:00:00"/>
    <n v="1655.08"/>
  </r>
  <r>
    <x v="42"/>
    <s v="Medium"/>
    <n v="1282"/>
    <n v="260"/>
    <n v="20"/>
    <n v="25640"/>
    <s v="$2,051.20"/>
    <n v="23588.799999999999"/>
    <n v="12820"/>
    <d v="2014-01-06T00:00:00"/>
    <n v="23588.799999999999"/>
  </r>
  <r>
    <x v="134"/>
    <s v="Medium"/>
    <n v="1540"/>
    <n v="3"/>
    <n v="125"/>
    <s v=" $1,92,500.00 "/>
    <s v="$15,400.00"/>
    <s v=" $1,77,100.00 "/>
    <s v=" $1,84,800.00 "/>
    <d v="2014-01-08T00:00:00"/>
    <n v="177100"/>
  </r>
  <r>
    <x v="2"/>
    <s v="Medium"/>
    <n v="490"/>
    <n v="3"/>
    <n v="15"/>
    <n v="7350"/>
    <s v="$588.00"/>
    <n v="6762"/>
    <n v="4900"/>
    <d v="2014-01-11T00:00:00"/>
    <n v="6762"/>
  </r>
  <r>
    <x v="47"/>
    <s v="Medium"/>
    <n v="1362"/>
    <n v="3"/>
    <n v="350"/>
    <s v=" $4,76,700.00 "/>
    <s v="$38,136.00"/>
    <s v=" $4,38,564.00 "/>
    <s v=" $3,54,120.00 "/>
    <d v="2014-01-12T00:00:00"/>
    <n v="438564"/>
  </r>
  <r>
    <x v="135"/>
    <s v="Medium"/>
    <n v="2501"/>
    <n v="5"/>
    <n v="15"/>
    <n v="37515"/>
    <s v="$3,001.20"/>
    <n v="34513.800000000003"/>
    <n v="25010"/>
    <d v="2014-01-03T00:00:00"/>
    <n v="34513.800000000003"/>
  </r>
  <r>
    <x v="56"/>
    <s v="Medium"/>
    <n v="708"/>
    <n v="5"/>
    <n v="20"/>
    <n v="14160"/>
    <s v="$1,132.80"/>
    <n v="13027.2"/>
    <n v="7080"/>
    <d v="2014-01-06T00:00:00"/>
    <n v="13027.2"/>
  </r>
  <r>
    <x v="12"/>
    <s v="Medium"/>
    <n v="645"/>
    <n v="5"/>
    <n v="20"/>
    <n v="12900"/>
    <s v="$1,032.00"/>
    <n v="11868"/>
    <n v="6450"/>
    <d v="2014-01-07T00:00:00"/>
    <n v="11868"/>
  </r>
  <r>
    <x v="129"/>
    <s v="Medium"/>
    <n v="1562"/>
    <n v="5"/>
    <n v="300"/>
    <s v=" $4,68,600.00 "/>
    <s v="$37,488.00"/>
    <s v=" $4,31,112.00 "/>
    <s v=" $3,90,500.00 "/>
    <d v="2014-01-08T00:00:00"/>
    <n v="431112"/>
  </r>
  <r>
    <x v="136"/>
    <s v="Medium"/>
    <n v="1283"/>
    <n v="5"/>
    <n v="300"/>
    <s v=" $3,84,900.00 "/>
    <s v="$30,792.00"/>
    <s v=" $3,54,108.00 "/>
    <s v=" $3,20,750.00 "/>
    <d v="2013-01-09T00:00:00"/>
    <n v="354108"/>
  </r>
  <r>
    <x v="5"/>
    <s v="Medium"/>
    <n v="711"/>
    <n v="5"/>
    <n v="15"/>
    <n v="10665"/>
    <s v="$853.20"/>
    <n v="9811.7999999999993"/>
    <n v="7110"/>
    <d v="2014-01-12T00:00:00"/>
    <n v="9811.7999999999993"/>
  </r>
  <r>
    <x v="61"/>
    <s v="Medium"/>
    <n v="1114"/>
    <n v="10"/>
    <n v="125"/>
    <s v=" $1,39,250.00 "/>
    <s v="$11,140.00"/>
    <s v=" $1,28,110.00 "/>
    <s v=" $1,33,680.00 "/>
    <d v="2014-01-03T00:00:00"/>
    <n v="128110"/>
  </r>
  <r>
    <x v="17"/>
    <s v="Medium"/>
    <n v="1259"/>
    <n v="10"/>
    <n v="7"/>
    <n v="8813"/>
    <s v="$705.04"/>
    <n v="8107.96"/>
    <n v="6295"/>
    <d v="2014-01-04T00:00:00"/>
    <n v="8107.96"/>
  </r>
  <r>
    <x v="17"/>
    <s v="Medium"/>
    <n v="1095"/>
    <n v="10"/>
    <n v="7"/>
    <n v="7665"/>
    <s v="$613.20"/>
    <n v="7051.8"/>
    <n v="5475"/>
    <d v="2014-01-05T00:00:00"/>
    <n v="7051.8"/>
  </r>
  <r>
    <x v="17"/>
    <s v="Medium"/>
    <n v="1366"/>
    <n v="10"/>
    <n v="20"/>
    <n v="27320"/>
    <s v="$2,185.60"/>
    <n v="25134.400000000001"/>
    <n v="13660"/>
    <d v="2014-01-06T00:00:00"/>
    <n v="25134.400000000001"/>
  </r>
  <r>
    <x v="21"/>
    <s v="Medium"/>
    <n v="2460"/>
    <n v="10"/>
    <n v="300"/>
    <s v=" $7,38,000.00 "/>
    <s v="$59,040.00"/>
    <s v=" $6,78,960.00 "/>
    <s v=" $6,15,000.00 "/>
    <d v="2014-01-06T00:00:00"/>
    <n v="678960"/>
  </r>
  <r>
    <x v="22"/>
    <s v="Medium"/>
    <n v="678"/>
    <n v="10"/>
    <n v="7"/>
    <n v="4746"/>
    <s v="$379.68"/>
    <n v="4366.32"/>
    <n v="3390"/>
    <d v="2014-01-08T00:00:00"/>
    <n v="4366.32"/>
  </r>
  <r>
    <x v="17"/>
    <s v="Medium"/>
    <n v="1598"/>
    <n v="10"/>
    <n v="7"/>
    <n v="11186"/>
    <s v="$894.88"/>
    <n v="10291.120000000001"/>
    <n v="7990"/>
    <d v="2014-01-08T00:00:00"/>
    <n v="10291.120000000001"/>
  </r>
  <r>
    <x v="17"/>
    <s v="Medium"/>
    <n v="2409"/>
    <n v="10"/>
    <n v="7"/>
    <n v="16863"/>
    <s v="$1,349.04"/>
    <n v="15513.96"/>
    <n v="12045"/>
    <d v="2013-01-09T00:00:00"/>
    <n v="15513.96"/>
  </r>
  <r>
    <x v="17"/>
    <s v="Medium"/>
    <n v="1934"/>
    <n v="10"/>
    <n v="20"/>
    <n v="38680"/>
    <s v="$3,094.40"/>
    <n v="35585.599999999999"/>
    <n v="19340"/>
    <d v="2014-01-09T00:00:00"/>
    <n v="35585.599999999999"/>
  </r>
  <r>
    <x v="19"/>
    <s v="Medium"/>
    <n v="2993"/>
    <n v="10"/>
    <n v="20"/>
    <n v="59860"/>
    <s v="$4,788.80"/>
    <n v="55071.199999999997"/>
    <n v="29930"/>
    <d v="2014-01-09T00:00:00"/>
    <n v="55071.199999999997"/>
  </r>
  <r>
    <x v="17"/>
    <s v="Medium"/>
    <n v="2146"/>
    <n v="10"/>
    <n v="350"/>
    <s v=" $7,51,100.00 "/>
    <s v="$60,088.00"/>
    <s v=" $6,91,012.00 "/>
    <s v=" $5,57,960.00 "/>
    <d v="2013-01-11T00:00:00"/>
    <n v="691012"/>
  </r>
  <r>
    <x v="19"/>
    <s v="Medium"/>
    <n v="1946"/>
    <n v="10"/>
    <n v="7"/>
    <n v="13622"/>
    <s v="$1,089.76"/>
    <n v="12532.24"/>
    <n v="9730"/>
    <d v="2013-01-12T00:00:00"/>
    <n v="12532.24"/>
  </r>
  <r>
    <x v="19"/>
    <s v="Medium"/>
    <n v="1362"/>
    <n v="10"/>
    <n v="350"/>
    <s v=" $4,76,700.00 "/>
    <s v="$38,136.00"/>
    <s v=" $4,38,564.00 "/>
    <s v=" $3,54,120.00 "/>
    <d v="2014-01-12T00:00:00"/>
    <n v="438564"/>
  </r>
  <r>
    <x v="111"/>
    <s v="Medium"/>
    <n v="598"/>
    <n v="120"/>
    <n v="12"/>
    <n v="7176"/>
    <s v="$574.08"/>
    <n v="6601.92"/>
    <n v="1794"/>
    <d v="2014-01-03T00:00:00"/>
    <n v="6601.92"/>
  </r>
  <r>
    <x v="85"/>
    <s v="Medium"/>
    <n v="2907"/>
    <n v="120"/>
    <n v="7"/>
    <n v="20349"/>
    <s v="$1,627.92"/>
    <n v="18721.080000000002"/>
    <n v="14535"/>
    <d v="2014-01-06T00:00:00"/>
    <n v="18721.080000000002"/>
  </r>
  <r>
    <x v="28"/>
    <s v="Medium"/>
    <n v="2338"/>
    <n v="120"/>
    <n v="7"/>
    <n v="16366"/>
    <s v="$1,309.28"/>
    <n v="15056.72"/>
    <n v="11690"/>
    <d v="2014-01-06T00:00:00"/>
    <n v="15056.72"/>
  </r>
  <r>
    <x v="123"/>
    <s v="Medium"/>
    <n v="386"/>
    <n v="120"/>
    <n v="300"/>
    <s v=" $1,15,800.00 "/>
    <s v="$9,264.00"/>
    <s v=" $1,06,536.00 "/>
    <n v="96500"/>
    <d v="2013-01-11T00:00:00"/>
    <n v="106536"/>
  </r>
  <r>
    <x v="137"/>
    <s v="Medium"/>
    <n v="635"/>
    <n v="120"/>
    <n v="300"/>
    <s v=" $1,90,500.00 "/>
    <s v="$15,240.00"/>
    <s v=" $1,75,260.00 "/>
    <s v=" $1,58,750.00 "/>
    <d v="2014-01-12T00:00:00"/>
    <n v="175260"/>
  </r>
  <r>
    <x v="35"/>
    <s v="Medium"/>
    <n v="574.5"/>
    <n v="250"/>
    <n v="350"/>
    <s v=" $2,01,075.00 "/>
    <s v="$16,086.00"/>
    <s v=" $1,84,989.00 "/>
    <s v=" $1,49,370.00 "/>
    <d v="2014-01-04T00:00:00"/>
    <n v="184989"/>
  </r>
  <r>
    <x v="65"/>
    <s v="Medium"/>
    <n v="2338"/>
    <n v="250"/>
    <n v="7"/>
    <n v="16366"/>
    <s v="$1,309.28"/>
    <n v="15056.72"/>
    <n v="11690"/>
    <d v="2014-01-06T00:00:00"/>
    <n v="15056.72"/>
  </r>
  <r>
    <x v="35"/>
    <s v="Medium"/>
    <n v="381"/>
    <n v="250"/>
    <n v="350"/>
    <s v=" $1,33,350.00 "/>
    <s v="$10,668.00"/>
    <s v=" $1,22,682.00 "/>
    <n v="99060"/>
    <d v="2014-01-08T00:00:00"/>
    <n v="122682"/>
  </r>
  <r>
    <x v="65"/>
    <s v="Medium"/>
    <n v="422"/>
    <n v="250"/>
    <n v="350"/>
    <s v=" $1,47,700.00 "/>
    <s v="$11,816.00"/>
    <s v=" $1,35,884.00 "/>
    <s v=" $1,09,720.00 "/>
    <d v="2014-01-08T00:00:00"/>
    <n v="135884"/>
  </r>
  <r>
    <x v="31"/>
    <s v="Medium"/>
    <n v="2134"/>
    <n v="250"/>
    <n v="300"/>
    <s v=" $6,40,200.00 "/>
    <s v="$51,216.00"/>
    <s v=" $5,88,984.00 "/>
    <s v=" $5,33,500.00 "/>
    <d v="2014-01-09T00:00:00"/>
    <n v="588984"/>
  </r>
  <r>
    <x v="100"/>
    <s v="Medium"/>
    <n v="808"/>
    <n v="250"/>
    <n v="300"/>
    <s v=" $2,42,400.00 "/>
    <s v="$19,392.00"/>
    <s v=" $2,23,008.00 "/>
    <s v=" $2,02,000.00 "/>
    <d v="2013-01-12T00:00:00"/>
    <n v="223008"/>
  </r>
  <r>
    <x v="110"/>
    <s v="Medium"/>
    <n v="708"/>
    <n v="260"/>
    <n v="20"/>
    <n v="14160"/>
    <s v="$1,132.80"/>
    <n v="13027.2"/>
    <n v="7080"/>
    <d v="2014-01-06T00:00:00"/>
    <n v="13027.2"/>
  </r>
  <r>
    <x v="42"/>
    <s v="Medium"/>
    <n v="2907"/>
    <n v="260"/>
    <n v="7"/>
    <n v="20349"/>
    <s v="$1,627.92"/>
    <n v="18721.080000000002"/>
    <n v="14535"/>
    <d v="2014-01-06T00:00:00"/>
    <n v="18721.080000000002"/>
  </r>
  <r>
    <x v="41"/>
    <s v="Medium"/>
    <n v="1366"/>
    <n v="260"/>
    <n v="20"/>
    <n v="27320"/>
    <s v="$2,185.60"/>
    <n v="25134.400000000001"/>
    <n v="13660"/>
    <d v="2014-01-06T00:00:00"/>
    <n v="25134.400000000001"/>
  </r>
  <r>
    <x v="94"/>
    <s v="Medium"/>
    <n v="2460"/>
    <n v="260"/>
    <n v="300"/>
    <s v=" $7,38,000.00 "/>
    <s v="$59,040.00"/>
    <s v=" $6,78,960.00 "/>
    <s v=" $6,15,000.00 "/>
    <d v="2014-01-06T00:00:00"/>
    <n v="678960"/>
  </r>
  <r>
    <x v="41"/>
    <s v="Medium"/>
    <n v="1520"/>
    <n v="260"/>
    <n v="20"/>
    <n v="30400"/>
    <s v="$2,432.00"/>
    <n v="27968"/>
    <n v="15200"/>
    <d v="2014-01-11T00:00:00"/>
    <n v="27968"/>
  </r>
  <r>
    <x v="138"/>
    <s v="Medium"/>
    <n v="711"/>
    <n v="260"/>
    <n v="15"/>
    <n v="10665"/>
    <s v="$853.20"/>
    <n v="9811.7999999999993"/>
    <n v="7110"/>
    <d v="2014-01-12T00:00:00"/>
    <n v="9811.7999999999993"/>
  </r>
  <r>
    <x v="112"/>
    <s v="Medium"/>
    <n v="1375"/>
    <n v="260"/>
    <n v="12"/>
    <n v="16500"/>
    <s v="$1,320.00"/>
    <n v="15180"/>
    <n v="4125"/>
    <d v="2013-01-12T00:00:00"/>
    <n v="15180"/>
  </r>
  <r>
    <x v="94"/>
    <s v="Medium"/>
    <n v="635"/>
    <n v="260"/>
    <n v="300"/>
    <s v=" $1,90,500.00 "/>
    <s v="$15,240.00"/>
    <s v=" $1,75,260.00 "/>
    <s v=" $1,58,750.00 "/>
    <d v="2014-01-12T00:00:00"/>
    <n v="175260"/>
  </r>
  <r>
    <x v="92"/>
    <s v="Medium"/>
    <n v="436.5"/>
    <n v="250"/>
    <n v="20"/>
    <n v="8730"/>
    <s v="$698.40"/>
    <n v="8031.6"/>
    <n v="4365"/>
    <d v="2014-01-07T00:00:00"/>
    <n v="8031.6"/>
  </r>
  <r>
    <x v="139"/>
    <s v="Medium"/>
    <n v="1094"/>
    <n v="3"/>
    <n v="300"/>
    <s v=" $3,28,200.00 "/>
    <s v="$29,538.00"/>
    <s v=" $2,98,662.00 "/>
    <s v=" $2,73,500.00 "/>
    <d v="2014-01-06T00:00:00"/>
    <n v="298662"/>
  </r>
  <r>
    <x v="119"/>
    <s v="Medium"/>
    <n v="367"/>
    <n v="3"/>
    <n v="12"/>
    <n v="4404"/>
    <s v="$396.36"/>
    <n v="4007.64"/>
    <n v="1101"/>
    <d v="2013-01-10T00:00:00"/>
    <n v="4007.64"/>
  </r>
  <r>
    <x v="136"/>
    <s v="Medium"/>
    <n v="3802.5"/>
    <n v="5"/>
    <n v="300"/>
    <s v=" $11,40,750.00 "/>
    <s v=" $1,02,667.50 "/>
    <s v=" $10,38,082.50 "/>
    <s v=" $9,50,625.00 "/>
    <d v="2014-01-04T00:00:00"/>
    <n v="1038082.5"/>
  </r>
  <r>
    <x v="7"/>
    <s v="Medium"/>
    <n v="1666"/>
    <n v="5"/>
    <n v="350"/>
    <s v=" $5,83,100.00 "/>
    <s v="$52,479.00"/>
    <s v=" $5,30,621.00 "/>
    <s v=" $4,33,160.00 "/>
    <d v="2014-01-05T00:00:00"/>
    <n v="530621"/>
  </r>
  <r>
    <x v="129"/>
    <s v="Medium"/>
    <n v="322"/>
    <n v="5"/>
    <n v="300"/>
    <n v="96600"/>
    <s v="$8,694.00"/>
    <n v="87906"/>
    <n v="80500"/>
    <d v="2013-01-09T00:00:00"/>
    <n v="87906"/>
  </r>
  <r>
    <x v="6"/>
    <s v="Medium"/>
    <n v="2321"/>
    <n v="5"/>
    <n v="12"/>
    <n v="27852"/>
    <s v="$2,506.68"/>
    <n v="25345.32"/>
    <n v="6963"/>
    <d v="2014-01-11T00:00:00"/>
    <n v="25345.32"/>
  </r>
  <r>
    <x v="98"/>
    <s v="Medium"/>
    <n v="1857"/>
    <n v="5"/>
    <n v="125"/>
    <s v=" $2,32,125.00 "/>
    <s v="$20,891.25"/>
    <s v=" $2,11,233.75 "/>
    <s v=" $2,22,840.00 "/>
    <d v="2013-01-11T00:00:00"/>
    <n v="211233.75"/>
  </r>
  <r>
    <x v="56"/>
    <s v="Medium"/>
    <n v="1611"/>
    <n v="5"/>
    <n v="7"/>
    <n v="11277"/>
    <s v="$1,014.93"/>
    <n v="10262.07"/>
    <n v="8055"/>
    <d v="2013-01-12T00:00:00"/>
    <n v="10262.07"/>
  </r>
  <r>
    <x v="57"/>
    <s v="Medium"/>
    <n v="2797"/>
    <n v="5"/>
    <n v="125"/>
    <s v=" $3,49,625.00 "/>
    <s v="$31,466.25"/>
    <s v=" $3,18,158.75 "/>
    <s v=" $3,35,640.00 "/>
    <d v="2014-01-12T00:00:00"/>
    <n v="318158.75"/>
  </r>
  <r>
    <x v="104"/>
    <s v="Medium"/>
    <n v="334"/>
    <n v="5"/>
    <n v="300"/>
    <s v=" $1,00,200.00 "/>
    <s v="$9,018.00"/>
    <n v="91182"/>
    <n v="83500"/>
    <d v="2013-01-12T00:00:00"/>
    <n v="91182"/>
  </r>
  <r>
    <x v="21"/>
    <s v="Medium"/>
    <n v="2565"/>
    <n v="10"/>
    <n v="300"/>
    <s v=" $7,69,500.00 "/>
    <s v="$69,255.00"/>
    <s v=" $7,00,245.00 "/>
    <s v=" $6,41,250.00 "/>
    <d v="2014-01-01T00:00:00"/>
    <n v="700245"/>
  </r>
  <r>
    <x v="19"/>
    <s v="Medium"/>
    <n v="2417"/>
    <n v="10"/>
    <n v="350"/>
    <s v=" $8,45,950.00 "/>
    <s v="$76,135.50"/>
    <s v=" $7,69,814.50 "/>
    <s v=" $6,28,420.00 "/>
    <d v="2014-01-01T00:00:00"/>
    <n v="769814.5"/>
  </r>
  <r>
    <x v="58"/>
    <s v="Medium"/>
    <n v="3675"/>
    <n v="10"/>
    <n v="15"/>
    <n v="55125"/>
    <s v="$4,961.25"/>
    <n v="50163.75"/>
    <n v="36750"/>
    <d v="2014-01-04T00:00:00"/>
    <n v="50163.75"/>
  </r>
  <r>
    <x v="82"/>
    <s v="Medium"/>
    <n v="1094"/>
    <n v="10"/>
    <n v="300"/>
    <s v=" $3,28,200.00 "/>
    <s v="$29,538.00"/>
    <s v=" $2,98,662.00 "/>
    <s v=" $2,73,500.00 "/>
    <d v="2014-01-06T00:00:00"/>
    <n v="298662"/>
  </r>
  <r>
    <x v="20"/>
    <s v="Medium"/>
    <n v="1227"/>
    <n v="10"/>
    <n v="15"/>
    <n v="18405"/>
    <s v="$1,656.45"/>
    <n v="16748.55"/>
    <n v="12270"/>
    <d v="2014-01-10T00:00:00"/>
    <n v="16748.55"/>
  </r>
  <r>
    <x v="84"/>
    <s v="Medium"/>
    <n v="367"/>
    <n v="10"/>
    <n v="12"/>
    <n v="4404"/>
    <s v="$396.36"/>
    <n v="4007.64"/>
    <n v="1101"/>
    <d v="2013-01-10T00:00:00"/>
    <n v="4007.64"/>
  </r>
  <r>
    <x v="78"/>
    <s v="Medium"/>
    <n v="1324"/>
    <n v="10"/>
    <n v="300"/>
    <s v=" $3,97,200.00 "/>
    <s v="$35,748.00"/>
    <s v=" $3,61,452.00 "/>
    <s v=" $3,31,000.00 "/>
    <d v="2014-01-11T00:00:00"/>
    <n v="361452"/>
  </r>
  <r>
    <x v="18"/>
    <s v="Medium"/>
    <n v="1775"/>
    <n v="10"/>
    <n v="12"/>
    <n v="21300"/>
    <s v="$1,917.00"/>
    <n v="19383"/>
    <n v="5325"/>
    <d v="2013-01-11T00:00:00"/>
    <n v="19383"/>
  </r>
  <r>
    <x v="59"/>
    <s v="Medium"/>
    <n v="2797"/>
    <n v="10"/>
    <n v="125"/>
    <s v=" $3,49,625.00 "/>
    <s v="$31,466.25"/>
    <s v=" $3,18,158.75 "/>
    <s v=" $3,35,640.00 "/>
    <d v="2014-01-12T00:00:00"/>
    <n v="318158.75"/>
  </r>
  <r>
    <x v="116"/>
    <s v="Medium"/>
    <n v="245"/>
    <n v="120"/>
    <n v="15"/>
    <n v="3675"/>
    <s v="$330.75"/>
    <n v="3344.25"/>
    <n v="2450"/>
    <d v="2014-01-05T00:00:00"/>
    <n v="3344.25"/>
  </r>
  <r>
    <x v="140"/>
    <s v="Medium"/>
    <n v="3793.5"/>
    <n v="120"/>
    <n v="300"/>
    <s v=" $11,38,050.00 "/>
    <s v=" $1,02,424.50 "/>
    <s v=" $10,35,625.50 "/>
    <s v=" $9,48,375.00 "/>
    <d v="2014-01-07T00:00:00"/>
    <n v="1035625.5"/>
  </r>
  <r>
    <x v="28"/>
    <s v="Medium"/>
    <n v="1307"/>
    <n v="120"/>
    <n v="350"/>
    <s v=" $4,57,450.00 "/>
    <s v="$41,170.50"/>
    <s v=" $4,16,279.50 "/>
    <s v=" $3,39,820.00 "/>
    <d v="2014-01-07T00:00:00"/>
    <n v="416279.5"/>
  </r>
  <r>
    <x v="30"/>
    <s v="Medium"/>
    <n v="567"/>
    <n v="120"/>
    <n v="125"/>
    <n v="70875"/>
    <s v="$6,378.75"/>
    <n v="64496.25"/>
    <n v="68040"/>
    <d v="2014-01-09T00:00:00"/>
    <n v="64496.25"/>
  </r>
  <r>
    <x v="87"/>
    <s v="Medium"/>
    <n v="2110"/>
    <n v="120"/>
    <n v="125"/>
    <s v=" $2,63,750.00 "/>
    <s v="$23,737.50"/>
    <s v=" $2,40,012.50 "/>
    <s v=" $2,53,200.00 "/>
    <d v="2014-01-09T00:00:00"/>
    <n v="240012.5"/>
  </r>
  <r>
    <x v="64"/>
    <s v="Medium"/>
    <n v="1269"/>
    <n v="120"/>
    <n v="350"/>
    <s v=" $4,44,150.00 "/>
    <s v="$39,973.50"/>
    <s v=" $4,04,176.50 "/>
    <s v=" $3,29,940.00 "/>
    <d v="2014-01-10T00:00:00"/>
    <n v="404176.5"/>
  </r>
  <r>
    <x v="141"/>
    <s v="Medium"/>
    <n v="1956"/>
    <n v="250"/>
    <n v="12"/>
    <n v="23472"/>
    <s v="$2,112.48"/>
    <n v="21359.52"/>
    <n v="5868"/>
    <d v="2014-01-01T00:00:00"/>
    <n v="21359.52"/>
  </r>
  <r>
    <x v="68"/>
    <s v="Medium"/>
    <n v="2659"/>
    <n v="250"/>
    <n v="300"/>
    <s v=" $7,97,700.00 "/>
    <s v="$71,793.00"/>
    <s v=" $7,25,907.00 "/>
    <s v=" $6,64,750.00 "/>
    <d v="2014-01-02T00:00:00"/>
    <n v="725907"/>
  </r>
  <r>
    <x v="92"/>
    <s v="Medium"/>
    <n v="1351.5"/>
    <n v="250"/>
    <n v="350"/>
    <s v=" $4,73,025.00 "/>
    <s v="$42,572.25"/>
    <s v=" $4,30,452.75 "/>
    <s v=" $3,51,390.00 "/>
    <d v="2014-01-04T00:00:00"/>
    <n v="430452.75"/>
  </r>
  <r>
    <x v="32"/>
    <s v="Medium"/>
    <n v="880"/>
    <n v="250"/>
    <n v="12"/>
    <n v="10560"/>
    <s v="$950.40"/>
    <n v="9609.6"/>
    <n v="2640"/>
    <d v="2014-01-05T00:00:00"/>
    <n v="9609.6"/>
  </r>
  <r>
    <x v="100"/>
    <s v="Medium"/>
    <n v="1867"/>
    <n v="250"/>
    <n v="300"/>
    <s v=" $5,60,100.00 "/>
    <s v="$50,409.00"/>
    <s v=" $5,09,691.00 "/>
    <s v=" $4,66,750.00 "/>
    <d v="2014-01-09T00:00:00"/>
    <n v="509691"/>
  </r>
  <r>
    <x v="106"/>
    <s v="Medium"/>
    <n v="2234"/>
    <n v="250"/>
    <n v="12"/>
    <n v="26808"/>
    <s v="$2,412.72"/>
    <n v="24395.279999999999"/>
    <n v="6702"/>
    <d v="2013-01-09T00:00:00"/>
    <n v="24395.279999999999"/>
  </r>
  <r>
    <x v="33"/>
    <s v="Medium"/>
    <n v="1227"/>
    <n v="250"/>
    <n v="15"/>
    <n v="18405"/>
    <s v="$1,656.45"/>
    <n v="16748.55"/>
    <n v="12270"/>
    <d v="2014-01-10T00:00:00"/>
    <n v="16748.55"/>
  </r>
  <r>
    <x v="90"/>
    <s v="Medium"/>
    <n v="877"/>
    <n v="250"/>
    <n v="125"/>
    <s v=" $1,09,625.00 "/>
    <s v="$9,866.25"/>
    <n v="99758.75"/>
    <s v=" $1,05,240.00 "/>
    <d v="2014-01-11T00:00:00"/>
    <n v="99758.75"/>
  </r>
  <r>
    <x v="42"/>
    <s v="Medium"/>
    <n v="2071"/>
    <n v="260"/>
    <n v="350"/>
    <s v=" $7,24,850.00 "/>
    <s v="$65,236.50"/>
    <s v=" $6,59,613.50 "/>
    <s v=" $5,38,460.00 "/>
    <d v="2014-01-09T00:00:00"/>
    <n v="659613.5"/>
  </r>
  <r>
    <x v="110"/>
    <s v="Medium"/>
    <n v="1269"/>
    <n v="260"/>
    <n v="350"/>
    <s v=" $4,44,150.00 "/>
    <s v="$39,973.50"/>
    <s v=" $4,04,176.50 "/>
    <s v=" $3,29,940.00 "/>
    <d v="2014-01-10T00:00:00"/>
    <n v="404176.5"/>
  </r>
  <r>
    <x v="138"/>
    <s v="Medium"/>
    <n v="970"/>
    <n v="260"/>
    <n v="15"/>
    <n v="14550"/>
    <s v="$1,309.50"/>
    <n v="13240.5"/>
    <n v="9700"/>
    <d v="2013-01-11T00:00:00"/>
    <n v="13240.5"/>
  </r>
  <r>
    <x v="108"/>
    <s v="Medium"/>
    <n v="1694"/>
    <n v="260"/>
    <n v="20"/>
    <n v="33880"/>
    <s v="$3,049.20"/>
    <n v="30830.799999999999"/>
    <n v="16940"/>
    <d v="2014-01-11T00:00:00"/>
    <n v="30830.799999999999"/>
  </r>
  <r>
    <x v="1"/>
    <s v="Medium"/>
    <n v="663"/>
    <n v="3"/>
    <n v="20"/>
    <n v="13260"/>
    <s v="$1,193.40"/>
    <n v="12066.6"/>
    <n v="6630"/>
    <d v="2014-01-05T00:00:00"/>
    <n v="12066.6"/>
  </r>
  <r>
    <x v="0"/>
    <s v="Medium"/>
    <n v="819"/>
    <n v="3"/>
    <n v="7"/>
    <n v="5733"/>
    <s v="$515.97"/>
    <n v="5217.03"/>
    <n v="4095"/>
    <d v="2014-01-07T00:00:00"/>
    <n v="5217.03"/>
  </r>
  <r>
    <x v="52"/>
    <s v="Medium"/>
    <n v="1580"/>
    <n v="3"/>
    <n v="12"/>
    <n v="18960"/>
    <s v="$1,706.40"/>
    <n v="17253.599999999999"/>
    <n v="4740"/>
    <d v="2014-01-09T00:00:00"/>
    <n v="17253.599999999999"/>
  </r>
  <r>
    <x v="47"/>
    <s v="Medium"/>
    <n v="521"/>
    <n v="3"/>
    <n v="7"/>
    <n v="3647"/>
    <s v="$328.23"/>
    <n v="3318.77"/>
    <n v="2605"/>
    <d v="2014-01-12T00:00:00"/>
    <n v="3318.77"/>
  </r>
  <r>
    <x v="22"/>
    <s v="Medium"/>
    <n v="973"/>
    <n v="10"/>
    <n v="20"/>
    <n v="19460"/>
    <s v="$1,751.40"/>
    <n v="17708.599999999999"/>
    <n v="9730"/>
    <d v="2014-01-03T00:00:00"/>
    <n v="17708.599999999999"/>
  </r>
  <r>
    <x v="19"/>
    <s v="Medium"/>
    <n v="1038"/>
    <n v="10"/>
    <n v="20"/>
    <n v="20760"/>
    <s v="$1,868.40"/>
    <n v="18891.599999999999"/>
    <n v="10380"/>
    <d v="2014-01-06T00:00:00"/>
    <n v="18891.599999999999"/>
  </r>
  <r>
    <x v="17"/>
    <s v="Medium"/>
    <n v="360"/>
    <n v="10"/>
    <n v="7"/>
    <n v="2520"/>
    <s v="$226.80"/>
    <n v="2293.1999999999998"/>
    <n v="1800"/>
    <d v="2014-01-10T00:00:00"/>
    <n v="2293.1999999999998"/>
  </r>
  <r>
    <x v="88"/>
    <s v="Medium"/>
    <n v="1967"/>
    <n v="120"/>
    <n v="12"/>
    <n v="23604"/>
    <s v="$2,124.36"/>
    <n v="21479.64"/>
    <n v="5901"/>
    <d v="2014-01-03T00:00:00"/>
    <n v="21479.64"/>
  </r>
  <r>
    <x v="116"/>
    <s v="Medium"/>
    <n v="2628"/>
    <n v="120"/>
    <n v="15"/>
    <n v="39420"/>
    <s v="$3,547.80"/>
    <n v="35872.199999999997"/>
    <n v="26280"/>
    <d v="2014-01-04T00:00:00"/>
    <n v="35872.199999999997"/>
  </r>
  <r>
    <x v="65"/>
    <s v="Medium"/>
    <n v="360"/>
    <n v="250"/>
    <n v="7"/>
    <n v="2520"/>
    <s v="$226.80"/>
    <n v="2293.1999999999998"/>
    <n v="1800"/>
    <d v="2014-01-10T00:00:00"/>
    <n v="2293.1999999999998"/>
  </r>
  <r>
    <x v="35"/>
    <s v="Medium"/>
    <n v="2682"/>
    <n v="250"/>
    <n v="20"/>
    <n v="53640"/>
    <s v="$4,827.60"/>
    <n v="48812.4"/>
    <n v="26820"/>
    <d v="2013-01-11T00:00:00"/>
    <n v="48812.4"/>
  </r>
  <r>
    <x v="70"/>
    <s v="Medium"/>
    <n v="521"/>
    <n v="250"/>
    <n v="7"/>
    <n v="3647"/>
    <s v="$328.23"/>
    <n v="3318.77"/>
    <n v="2605"/>
    <d v="2014-01-12T00:00:00"/>
    <n v="3318.77"/>
  </r>
  <r>
    <x v="108"/>
    <s v="Medium"/>
    <n v="1038"/>
    <n v="260"/>
    <n v="20"/>
    <n v="20760"/>
    <s v="$1,868.40"/>
    <n v="18891.599999999999"/>
    <n v="10380"/>
    <d v="2014-01-06T00:00:00"/>
    <n v="18891.599999999999"/>
  </r>
  <r>
    <x v="142"/>
    <s v="Medium"/>
    <n v="1630.5"/>
    <n v="260"/>
    <n v="15"/>
    <n v="24457.5"/>
    <s v="$2,201.18"/>
    <n v="22256.33"/>
    <n v="16305"/>
    <d v="2014-01-07T00:00:00"/>
    <n v="22256.33"/>
  </r>
  <r>
    <x v="143"/>
    <s v="Medium"/>
    <n v="306"/>
    <n v="260"/>
    <n v="12"/>
    <n v="3672"/>
    <s v="$330.48"/>
    <n v="3341.52"/>
    <n v="918"/>
    <d v="2013-01-12T00:00:00"/>
    <n v="3341.52"/>
  </r>
  <r>
    <x v="46"/>
    <s v="High"/>
    <n v="386"/>
    <n v="3"/>
    <n v="12"/>
    <n v="4632"/>
    <s v="$463.20"/>
    <n v="4168.8"/>
    <n v="1158"/>
    <d v="2013-01-10T00:00:00"/>
    <n v="4168.8"/>
  </r>
  <r>
    <x v="75"/>
    <s v="High"/>
    <n v="2328"/>
    <n v="5"/>
    <n v="7"/>
    <n v="16296"/>
    <s v="$1,629.60"/>
    <n v="14666.4"/>
    <n v="11640"/>
    <d v="2014-01-09T00:00:00"/>
    <n v="14666.4"/>
  </r>
  <r>
    <x v="23"/>
    <s v="High"/>
    <n v="386"/>
    <n v="10"/>
    <n v="12"/>
    <n v="4632"/>
    <s v="$463.20"/>
    <n v="4168.8"/>
    <n v="1158"/>
    <d v="2013-01-10T00:00:00"/>
    <n v="4168.8"/>
  </r>
  <r>
    <x v="50"/>
    <s v="High"/>
    <n v="3445.5"/>
    <n v="3"/>
    <n v="125"/>
    <s v=" $4,30,687.50 "/>
    <s v="$43,068.75"/>
    <s v=" $3,87,618.75 "/>
    <s v=" $4,13,460.00 "/>
    <d v="2014-01-04T00:00:00"/>
    <n v="387618.75"/>
  </r>
  <r>
    <x v="96"/>
    <s v="High"/>
    <n v="1482"/>
    <n v="3"/>
    <n v="125"/>
    <s v=" $1,85,250.00 "/>
    <s v="$18,525.00"/>
    <s v=" $1,66,725.00 "/>
    <s v=" $1,77,840.00 "/>
    <d v="2013-01-12T00:00:00"/>
    <n v="166725"/>
  </r>
  <r>
    <x v="75"/>
    <s v="High"/>
    <n v="2313"/>
    <n v="5"/>
    <n v="350"/>
    <s v=" $8,09,550.00 "/>
    <s v="$80,955.00"/>
    <s v=" $7,28,595.00 "/>
    <s v=" $6,01,380.00 "/>
    <d v="2014-01-05T00:00:00"/>
    <n v="728595"/>
  </r>
  <r>
    <x v="57"/>
    <s v="High"/>
    <n v="1804"/>
    <n v="5"/>
    <n v="125"/>
    <s v=" $2,25,500.00 "/>
    <s v="$22,550.00"/>
    <s v=" $2,02,950.00 "/>
    <s v=" $2,16,480.00 "/>
    <d v="2013-01-11T00:00:00"/>
    <n v="202950"/>
  </r>
  <r>
    <x v="135"/>
    <s v="High"/>
    <n v="2072"/>
    <n v="5"/>
    <n v="15"/>
    <n v="31080"/>
    <s v="$3,108.00"/>
    <n v="27972"/>
    <n v="20720"/>
    <d v="2014-01-12T00:00:00"/>
    <n v="27972"/>
  </r>
  <r>
    <x v="44"/>
    <s v="High"/>
    <n v="1954"/>
    <n v="10"/>
    <n v="20"/>
    <n v="39080"/>
    <s v="$3,908.00"/>
    <n v="35172"/>
    <n v="19540"/>
    <d v="2014-01-03T00:00:00"/>
    <n v="35172"/>
  </r>
  <r>
    <x v="21"/>
    <s v="High"/>
    <n v="591"/>
    <n v="10"/>
    <n v="300"/>
    <s v=" $1,77,300.00 "/>
    <s v="$17,730.00"/>
    <s v=" $1,59,570.00 "/>
    <s v=" $1,47,750.00 "/>
    <d v="2014-01-05T00:00:00"/>
    <n v="159570"/>
  </r>
  <r>
    <x v="20"/>
    <s v="High"/>
    <n v="2167"/>
    <n v="10"/>
    <n v="15"/>
    <n v="32505"/>
    <s v="$3,250.50"/>
    <n v="29254.5"/>
    <n v="21670"/>
    <d v="2013-01-10T00:00:00"/>
    <n v="29254.5"/>
  </r>
  <r>
    <x v="17"/>
    <s v="High"/>
    <n v="241"/>
    <n v="10"/>
    <n v="20"/>
    <n v="4820"/>
    <s v="$482.00"/>
    <n v="4338"/>
    <n v="2410"/>
    <d v="2014-01-10T00:00:00"/>
    <n v="4338"/>
  </r>
  <r>
    <x v="122"/>
    <s v="High"/>
    <n v="681"/>
    <n v="120"/>
    <n v="15"/>
    <n v="10215"/>
    <s v="$1,021.50"/>
    <n v="9193.5"/>
    <n v="6810"/>
    <d v="2014-01-01T00:00:00"/>
    <n v="9193.5"/>
  </r>
  <r>
    <x v="122"/>
    <s v="High"/>
    <n v="510"/>
    <n v="120"/>
    <n v="15"/>
    <n v="7650"/>
    <s v="$765.00"/>
    <n v="6885"/>
    <n v="5100"/>
    <d v="2014-01-04T00:00:00"/>
    <n v="6885"/>
  </r>
  <r>
    <x v="115"/>
    <s v="High"/>
    <n v="790"/>
    <n v="120"/>
    <n v="15"/>
    <n v="11850"/>
    <s v="$1,185.00"/>
    <n v="10665"/>
    <n v="7900"/>
    <d v="2014-01-05T00:00:00"/>
    <n v="10665"/>
  </r>
  <r>
    <x v="45"/>
    <s v="High"/>
    <n v="639"/>
    <n v="120"/>
    <n v="350"/>
    <s v=" $2,23,650.00 "/>
    <s v="$22,365.00"/>
    <s v=" $2,01,285.00 "/>
    <s v=" $1,66,140.00 "/>
    <d v="2014-01-07T00:00:00"/>
    <n v="201285"/>
  </r>
  <r>
    <x v="29"/>
    <s v="High"/>
    <n v="1596"/>
    <n v="120"/>
    <n v="125"/>
    <s v=" $1,99,500.00 "/>
    <s v="$19,950.00"/>
    <s v=" $1,79,550.00 "/>
    <s v=" $1,91,520.00 "/>
    <d v="2014-01-09T00:00:00"/>
    <n v="179550"/>
  </r>
  <r>
    <x v="130"/>
    <s v="High"/>
    <n v="2294"/>
    <n v="120"/>
    <n v="300"/>
    <s v=" $6,88,200.00 "/>
    <s v="$68,820.00"/>
    <s v=" $6,19,380.00 "/>
    <s v=" $5,73,500.00 "/>
    <d v="2013-01-10T00:00:00"/>
    <n v="619380"/>
  </r>
  <r>
    <x v="28"/>
    <s v="High"/>
    <n v="241"/>
    <n v="120"/>
    <n v="20"/>
    <n v="4820"/>
    <s v="$482.00"/>
    <n v="4338"/>
    <n v="2410"/>
    <d v="2014-01-10T00:00:00"/>
    <n v="4338"/>
  </r>
  <r>
    <x v="28"/>
    <s v="High"/>
    <n v="2665"/>
    <n v="120"/>
    <n v="7"/>
    <n v="18655"/>
    <s v="$1,865.50"/>
    <n v="16789.5"/>
    <n v="13325"/>
    <d v="2014-01-11T00:00:00"/>
    <n v="16789.5"/>
  </r>
  <r>
    <x v="30"/>
    <s v="High"/>
    <n v="1916"/>
    <n v="120"/>
    <n v="125"/>
    <s v=" $2,39,500.00 "/>
    <s v="$23,950.00"/>
    <s v=" $2,15,550.00 "/>
    <s v=" $2,29,920.00 "/>
    <d v="2013-01-12T00:00:00"/>
    <n v="215550"/>
  </r>
  <r>
    <x v="123"/>
    <s v="High"/>
    <n v="853"/>
    <n v="120"/>
    <n v="300"/>
    <s v=" $2,55,900.00 "/>
    <s v="$25,590.00"/>
    <s v=" $2,30,310.00 "/>
    <s v=" $2,13,250.00 "/>
    <d v="2014-01-12T00:00:00"/>
    <n v="230310"/>
  </r>
  <r>
    <x v="90"/>
    <s v="High"/>
    <n v="341"/>
    <n v="250"/>
    <n v="125"/>
    <n v="42625"/>
    <s v="$4,262.50"/>
    <n v="38362.5"/>
    <n v="40920"/>
    <d v="2014-01-05T00:00:00"/>
    <n v="38362.5"/>
  </r>
  <r>
    <x v="107"/>
    <s v="High"/>
    <n v="641"/>
    <n v="250"/>
    <n v="15"/>
    <n v="9615"/>
    <s v="$961.50"/>
    <n v="8653.5"/>
    <n v="6410"/>
    <d v="2014-01-07T00:00:00"/>
    <n v="8653.5"/>
  </r>
  <r>
    <x v="92"/>
    <s v="High"/>
    <n v="2807"/>
    <n v="250"/>
    <n v="350"/>
    <s v=" $9,82,450.00 "/>
    <s v="$98,245.00"/>
    <s v=" $8,84,205.00 "/>
    <s v=" $7,29,820.00 "/>
    <d v="2014-01-08T00:00:00"/>
    <n v="884205"/>
  </r>
  <r>
    <x v="69"/>
    <s v="High"/>
    <n v="432"/>
    <n v="250"/>
    <n v="300"/>
    <s v=" $1,29,600.00 "/>
    <s v="$12,960.00"/>
    <s v=" $1,16,640.00 "/>
    <s v=" $1,08,000.00 "/>
    <d v="2014-01-09T00:00:00"/>
    <n v="116640"/>
  </r>
  <r>
    <x v="100"/>
    <s v="High"/>
    <n v="2294"/>
    <n v="250"/>
    <n v="300"/>
    <s v=" $6,88,200.00 "/>
    <s v="$68,820.00"/>
    <s v=" $6,19,380.00 "/>
    <s v=" $5,73,500.00 "/>
    <d v="2013-01-10T00:00:00"/>
    <n v="619380"/>
  </r>
  <r>
    <x v="33"/>
    <s v="High"/>
    <n v="2167"/>
    <n v="250"/>
    <n v="15"/>
    <n v="32505"/>
    <s v="$3,250.50"/>
    <n v="29254.5"/>
    <n v="21670"/>
    <d v="2013-01-10T00:00:00"/>
    <n v="29254.5"/>
  </r>
  <r>
    <x v="91"/>
    <s v="High"/>
    <n v="2529"/>
    <n v="250"/>
    <n v="125"/>
    <s v=" $3,16,125.00 "/>
    <s v="$31,612.50"/>
    <s v=" $2,84,512.50 "/>
    <s v=" $3,03,480.00 "/>
    <d v="2014-01-11T00:00:00"/>
    <n v="284512.5"/>
  </r>
  <r>
    <x v="65"/>
    <s v="High"/>
    <n v="1870"/>
    <n v="250"/>
    <n v="350"/>
    <s v=" $6,54,500.00 "/>
    <s v="$65,450.00"/>
    <s v=" $5,89,050.00 "/>
    <s v=" $4,86,200.00 "/>
    <d v="2013-01-12T00:00:00"/>
    <n v="589050"/>
  </r>
  <r>
    <x v="144"/>
    <s v="High"/>
    <n v="579"/>
    <n v="260"/>
    <n v="125"/>
    <n v="72375"/>
    <s v="$7,237.50"/>
    <n v="65137.5"/>
    <n v="69480"/>
    <d v="2014-01-01T00:00:00"/>
    <n v="65137.5"/>
  </r>
  <r>
    <x v="110"/>
    <s v="High"/>
    <n v="2240"/>
    <n v="260"/>
    <n v="350"/>
    <s v=" $7,84,000.00 "/>
    <s v="$78,400.00"/>
    <s v=" $7,05,600.00 "/>
    <s v=" $5,82,400.00 "/>
    <d v="2014-01-02T00:00:00"/>
    <n v="705600"/>
  </r>
  <r>
    <x v="133"/>
    <s v="High"/>
    <n v="2993"/>
    <n v="260"/>
    <n v="300"/>
    <s v=" $8,97,900.00 "/>
    <s v="$89,790.00"/>
    <s v=" $8,08,110.00 "/>
    <s v=" $7,48,250.00 "/>
    <d v="2014-01-03T00:00:00"/>
    <n v="808110"/>
  </r>
  <r>
    <x v="145"/>
    <s v="High"/>
    <n v="3520.5"/>
    <n v="260"/>
    <n v="12"/>
    <n v="42246"/>
    <s v="$4,224.60"/>
    <n v="38021.4"/>
    <n v="10561.5"/>
    <d v="2014-01-04T00:00:00"/>
    <n v="38021.4"/>
  </r>
  <r>
    <x v="108"/>
    <s v="High"/>
    <n v="2039"/>
    <n v="260"/>
    <n v="20"/>
    <n v="40780"/>
    <s v="$4,078.00"/>
    <n v="36702"/>
    <n v="20390"/>
    <d v="2014-01-05T00:00:00"/>
    <n v="36702"/>
  </r>
  <r>
    <x v="146"/>
    <s v="High"/>
    <n v="2574"/>
    <n v="260"/>
    <n v="12"/>
    <n v="30888"/>
    <s v="$3,088.80"/>
    <n v="27799.200000000001"/>
    <n v="7722"/>
    <d v="2014-01-08T00:00:00"/>
    <n v="27799.200000000001"/>
  </r>
  <r>
    <x v="110"/>
    <s v="High"/>
    <n v="707"/>
    <n v="260"/>
    <n v="350"/>
    <s v=" $2,47,450.00 "/>
    <s v="$24,745.00"/>
    <s v=" $2,22,705.00 "/>
    <s v=" $1,83,820.00 "/>
    <d v="2014-01-09T00:00:00"/>
    <n v="222705"/>
  </r>
  <r>
    <x v="71"/>
    <s v="High"/>
    <n v="2072"/>
    <n v="260"/>
    <n v="15"/>
    <n v="31080"/>
    <s v="$3,108.00"/>
    <n v="27972"/>
    <n v="20720"/>
    <d v="2014-01-12T00:00:00"/>
    <n v="27972"/>
  </r>
  <r>
    <x v="147"/>
    <s v="High"/>
    <n v="853"/>
    <n v="260"/>
    <n v="300"/>
    <s v=" $2,55,900.00 "/>
    <s v="$25,590.00"/>
    <s v=" $2,30,310.00 "/>
    <s v=" $2,13,250.00 "/>
    <d v="2014-01-12T00:00:00"/>
    <n v="230310"/>
  </r>
  <r>
    <x v="51"/>
    <s v="High"/>
    <n v="1198"/>
    <n v="3"/>
    <n v="12"/>
    <n v="14376"/>
    <s v="$1,581.36"/>
    <n v="12794.64"/>
    <n v="3594"/>
    <d v="2013-01-10T00:00:00"/>
    <n v="12794.64"/>
  </r>
  <r>
    <x v="44"/>
    <s v="High"/>
    <n v="2532"/>
    <n v="10"/>
    <n v="7"/>
    <n v="17724"/>
    <s v="$1,949.64"/>
    <n v="15774.36"/>
    <n v="12660"/>
    <d v="2014-01-04T00:00:00"/>
    <n v="15774.36"/>
  </r>
  <r>
    <x v="81"/>
    <s v="High"/>
    <n v="1198"/>
    <n v="10"/>
    <n v="12"/>
    <n v="14376"/>
    <s v="$1,581.36"/>
    <n v="12794.64"/>
    <n v="3594"/>
    <d v="2013-01-10T00:00:00"/>
    <n v="12794.64"/>
  </r>
  <r>
    <x v="127"/>
    <s v="High"/>
    <n v="384"/>
    <n v="120"/>
    <n v="15"/>
    <n v="5760"/>
    <s v="$633.60"/>
    <n v="5126.3999999999996"/>
    <n v="3840"/>
    <d v="2014-01-01T00:00:00"/>
    <n v="5126.3999999999996"/>
  </r>
  <r>
    <x v="27"/>
    <s v="High"/>
    <n v="472"/>
    <n v="120"/>
    <n v="12"/>
    <n v="5664"/>
    <s v="$623.04"/>
    <n v="5040.96"/>
    <n v="1416"/>
    <d v="2014-01-10T00:00:00"/>
    <n v="5040.96"/>
  </r>
  <r>
    <x v="92"/>
    <s v="High"/>
    <n v="1579"/>
    <n v="250"/>
    <n v="7"/>
    <n v="11053"/>
    <s v="$1,215.83"/>
    <n v="9837.17"/>
    <n v="7895"/>
    <d v="2014-01-03T00:00:00"/>
    <n v="9837.17"/>
  </r>
  <r>
    <x v="101"/>
    <s v="High"/>
    <n v="1005"/>
    <n v="250"/>
    <n v="12"/>
    <n v="12060"/>
    <s v="$1,326.60"/>
    <n v="10733.4"/>
    <n v="3015"/>
    <d v="2013-01-09T00:00:00"/>
    <n v="10733.4"/>
  </r>
  <r>
    <x v="43"/>
    <s v="High"/>
    <n v="3199.5"/>
    <n v="260"/>
    <n v="15"/>
    <n v="47992.5"/>
    <s v="$5,279.18"/>
    <n v="42713.33"/>
    <n v="31995"/>
    <d v="2014-01-07T00:00:00"/>
    <n v="42713.33"/>
  </r>
  <r>
    <x v="146"/>
    <s v="High"/>
    <n v="472"/>
    <n v="260"/>
    <n v="12"/>
    <n v="5664"/>
    <s v="$623.04"/>
    <n v="5040.96"/>
    <n v="1416"/>
    <d v="2014-01-10T00:00:00"/>
    <n v="5040.96"/>
  </r>
  <r>
    <x v="49"/>
    <s v="High"/>
    <n v="1937"/>
    <n v="3"/>
    <n v="12"/>
    <n v="23244"/>
    <s v="$2,556.84"/>
    <n v="20687.16"/>
    <n v="5811"/>
    <d v="2014-01-02T00:00:00"/>
    <n v="20687.16"/>
  </r>
  <r>
    <x v="1"/>
    <s v="High"/>
    <n v="792"/>
    <n v="3"/>
    <n v="350"/>
    <s v=" $2,77,200.00 "/>
    <s v="$30,492.00"/>
    <s v=" $2,46,708.00 "/>
    <s v=" $2,05,920.00 "/>
    <d v="2014-01-03T00:00:00"/>
    <n v="246708"/>
  </r>
  <r>
    <x v="73"/>
    <s v="High"/>
    <n v="2811"/>
    <n v="3"/>
    <n v="300"/>
    <s v=" $8,43,300.00 "/>
    <s v="$92,763.00"/>
    <s v=" $7,50,537.00 "/>
    <s v=" $7,02,750.00 "/>
    <d v="2014-01-07T00:00:00"/>
    <n v="750537"/>
  </r>
  <r>
    <x v="96"/>
    <s v="High"/>
    <n v="2441"/>
    <n v="3"/>
    <n v="125"/>
    <s v=" $3,05,125.00 "/>
    <s v="$33,563.75"/>
    <s v=" $2,71,561.25 "/>
    <s v=" $2,92,920.00 "/>
    <d v="2014-01-10T00:00:00"/>
    <n v="271561.25"/>
  </r>
  <r>
    <x v="118"/>
    <s v="High"/>
    <n v="1560"/>
    <n v="3"/>
    <n v="15"/>
    <n v="23400"/>
    <s v="$2,574.00"/>
    <n v="20826"/>
    <n v="15600"/>
    <d v="2013-01-11T00:00:00"/>
    <n v="20826"/>
  </r>
  <r>
    <x v="47"/>
    <s v="High"/>
    <n v="2706"/>
    <n v="3"/>
    <n v="7"/>
    <n v="18942"/>
    <s v="$2,083.62"/>
    <n v="16858.38"/>
    <n v="13530"/>
    <d v="2013-01-11T00:00:00"/>
    <n v="16858.38"/>
  </r>
  <r>
    <x v="12"/>
    <s v="High"/>
    <n v="766"/>
    <n v="5"/>
    <n v="350"/>
    <s v=" $2,68,100.00 "/>
    <s v="$29,491.00"/>
    <s v=" $2,38,609.00 "/>
    <s v=" $1,99,160.00 "/>
    <d v="2014-01-01T00:00:00"/>
    <n v="238609"/>
  </r>
  <r>
    <x v="12"/>
    <s v="High"/>
    <n v="2992"/>
    <n v="5"/>
    <n v="20"/>
    <n v="59840"/>
    <s v="$6,582.40"/>
    <n v="53257.599999999999"/>
    <n v="29920"/>
    <d v="2013-01-10T00:00:00"/>
    <n v="53257.599999999999"/>
  </r>
  <r>
    <x v="9"/>
    <s v="High"/>
    <n v="2157"/>
    <n v="5"/>
    <n v="15"/>
    <n v="32355"/>
    <s v="$3,559.05"/>
    <n v="28795.95"/>
    <n v="21570"/>
    <d v="2014-01-12T00:00:00"/>
    <n v="28795.95"/>
  </r>
  <r>
    <x v="82"/>
    <s v="High"/>
    <n v="873"/>
    <n v="10"/>
    <n v="300"/>
    <s v=" $2,61,900.00 "/>
    <s v="$28,809.00"/>
    <s v=" $2,33,091.00 "/>
    <s v=" $2,18,250.00 "/>
    <d v="2014-01-01T00:00:00"/>
    <n v="233091"/>
  </r>
  <r>
    <x v="19"/>
    <s v="High"/>
    <n v="1122"/>
    <n v="10"/>
    <n v="20"/>
    <n v="22440"/>
    <s v="$2,468.40"/>
    <n v="19971.599999999999"/>
    <n v="11220"/>
    <d v="2014-01-03T00:00:00"/>
    <n v="19971.599999999999"/>
  </r>
  <r>
    <x v="14"/>
    <s v="High"/>
    <n v="2104.5"/>
    <n v="10"/>
    <n v="350"/>
    <s v=" $7,36,575.00 "/>
    <s v="$81,023.25"/>
    <s v=" $6,55,551.75 "/>
    <s v=" $5,47,170.00 "/>
    <d v="2014-01-07T00:00:00"/>
    <n v="655551.75"/>
  </r>
  <r>
    <x v="16"/>
    <s v="High"/>
    <n v="4026"/>
    <n v="10"/>
    <n v="12"/>
    <n v="48312"/>
    <s v="$5,314.32"/>
    <n v="42997.68"/>
    <n v="12078"/>
    <d v="2014-01-07T00:00:00"/>
    <n v="42997.68"/>
  </r>
  <r>
    <x v="81"/>
    <s v="High"/>
    <n v="2425.5"/>
    <n v="10"/>
    <n v="12"/>
    <n v="29106"/>
    <s v="$3,201.66"/>
    <n v="25904.34"/>
    <n v="7276.5"/>
    <d v="2014-01-07T00:00:00"/>
    <n v="25904.34"/>
  </r>
  <r>
    <x v="14"/>
    <s v="High"/>
    <n v="2394"/>
    <n v="10"/>
    <n v="20"/>
    <n v="47880"/>
    <s v="$5,266.80"/>
    <n v="42613.2"/>
    <n v="23940"/>
    <d v="2014-01-08T00:00:00"/>
    <n v="42613.2"/>
  </r>
  <r>
    <x v="15"/>
    <s v="High"/>
    <n v="1984"/>
    <n v="10"/>
    <n v="15"/>
    <n v="29760"/>
    <s v="$3,273.60"/>
    <n v="26486.400000000001"/>
    <n v="19840"/>
    <d v="2014-01-08T00:00:00"/>
    <n v="26486.400000000001"/>
  </r>
  <r>
    <x v="60"/>
    <s v="High"/>
    <n v="2441"/>
    <n v="10"/>
    <n v="125"/>
    <s v=" $3,05,125.00 "/>
    <s v="$33,563.75"/>
    <s v=" $2,71,561.25 "/>
    <s v=" $2,92,920.00 "/>
    <d v="2014-01-10T00:00:00"/>
    <n v="271561.25"/>
  </r>
  <r>
    <x v="17"/>
    <s v="High"/>
    <n v="2992"/>
    <n v="10"/>
    <n v="20"/>
    <n v="59840"/>
    <s v="$6,582.40"/>
    <n v="53257.599999999999"/>
    <n v="29920"/>
    <d v="2013-01-10T00:00:00"/>
    <n v="53257.599999999999"/>
  </r>
  <r>
    <x v="82"/>
    <s v="High"/>
    <n v="1366"/>
    <n v="10"/>
    <n v="300"/>
    <s v=" $4,09,800.00 "/>
    <s v="$45,078.00"/>
    <s v=" $3,64,722.00 "/>
    <s v=" $3,41,500.00 "/>
    <d v="2014-01-11T00:00:00"/>
    <n v="364722"/>
  </r>
  <r>
    <x v="45"/>
    <s v="High"/>
    <n v="2805"/>
    <n v="120"/>
    <n v="20"/>
    <n v="56100"/>
    <s v="$6,171.00"/>
    <n v="49929"/>
    <n v="28050"/>
    <d v="2013-01-09T00:00:00"/>
    <n v="49929"/>
  </r>
  <r>
    <x v="116"/>
    <s v="High"/>
    <n v="655"/>
    <n v="120"/>
    <n v="15"/>
    <n v="9825"/>
    <s v="$1,080.75"/>
    <n v="8744.25"/>
    <n v="6550"/>
    <d v="2013-01-09T00:00:00"/>
    <n v="8744.25"/>
  </r>
  <r>
    <x v="25"/>
    <s v="High"/>
    <n v="344"/>
    <n v="120"/>
    <n v="350"/>
    <s v=" $1,20,400.00 "/>
    <s v="$13,244.00"/>
    <s v=" $1,07,156.00 "/>
    <n v="89440"/>
    <d v="2013-01-10T00:00:00"/>
    <n v="107156"/>
  </r>
  <r>
    <x v="64"/>
    <s v="High"/>
    <n v="1808"/>
    <n v="120"/>
    <n v="7"/>
    <n v="12656"/>
    <s v="$1,392.16"/>
    <n v="11263.84"/>
    <n v="9040"/>
    <d v="2014-01-11T00:00:00"/>
    <n v="11263.84"/>
  </r>
  <r>
    <x v="106"/>
    <s v="High"/>
    <n v="1734"/>
    <n v="250"/>
    <n v="12"/>
    <n v="20808"/>
    <s v="$2,288.88"/>
    <n v="18519.12"/>
    <n v="5202"/>
    <d v="2014-01-01T00:00:00"/>
    <n v="18519.12"/>
  </r>
  <r>
    <x v="90"/>
    <s v="High"/>
    <n v="554"/>
    <n v="250"/>
    <n v="125"/>
    <n v="69250"/>
    <s v="$7,617.50"/>
    <n v="61632.5"/>
    <n v="66480"/>
    <d v="2014-01-01T00:00:00"/>
    <n v="61632.5"/>
  </r>
  <r>
    <x v="37"/>
    <s v="High"/>
    <n v="2935"/>
    <n v="250"/>
    <n v="20"/>
    <n v="58700"/>
    <s v="$6,457.00"/>
    <n v="52243"/>
    <n v="29350"/>
    <d v="2013-01-11T00:00:00"/>
    <n v="52243"/>
  </r>
  <r>
    <x v="40"/>
    <s v="High"/>
    <n v="3165"/>
    <n v="260"/>
    <n v="125"/>
    <s v=" $3,95,625.00 "/>
    <s v="$43,518.75"/>
    <s v=" $3,52,106.25 "/>
    <s v=" $3,79,800.00 "/>
    <d v="2014-01-01T00:00:00"/>
    <n v="352106.25"/>
  </r>
  <r>
    <x v="108"/>
    <s v="High"/>
    <n v="2629"/>
    <n v="260"/>
    <n v="20"/>
    <n v="52580"/>
    <s v="$5,783.80"/>
    <n v="46796.2"/>
    <n v="26290"/>
    <d v="2014-01-01T00:00:00"/>
    <n v="46796.2"/>
  </r>
  <r>
    <x v="125"/>
    <s v="High"/>
    <n v="1433"/>
    <n v="260"/>
    <n v="125"/>
    <s v=" $1,79,125.00 "/>
    <s v="$19,703.75"/>
    <s v=" $1,59,421.25 "/>
    <s v=" $1,71,960.00 "/>
    <d v="2014-01-05T00:00:00"/>
    <n v="159421.25"/>
  </r>
  <r>
    <x v="109"/>
    <s v="High"/>
    <n v="947"/>
    <n v="260"/>
    <n v="125"/>
    <s v=" $1,18,375.00 "/>
    <s v="$13,021.25"/>
    <s v=" $1,05,353.75 "/>
    <s v=" $1,13,640.00 "/>
    <d v="2013-01-09T00:00:00"/>
    <n v="105353.75"/>
  </r>
  <r>
    <x v="108"/>
    <s v="High"/>
    <n v="344"/>
    <n v="260"/>
    <n v="350"/>
    <s v=" $1,20,400.00 "/>
    <s v="$13,244.00"/>
    <s v=" $1,07,156.00 "/>
    <n v="89440"/>
    <d v="2013-01-10T00:00:00"/>
    <n v="107156"/>
  </r>
  <r>
    <x v="148"/>
    <s v="High"/>
    <n v="2157"/>
    <n v="260"/>
    <n v="15"/>
    <n v="32355"/>
    <s v="$3,559.05"/>
    <n v="28795.95"/>
    <n v="21570"/>
    <d v="2014-01-12T00:00:00"/>
    <n v="28795.95"/>
  </r>
  <r>
    <x v="22"/>
    <s v="High"/>
    <n v="380"/>
    <n v="10"/>
    <n v="7"/>
    <n v="2660"/>
    <s v="$292.60"/>
    <n v="2367.4"/>
    <n v="1900"/>
    <d v="2013-01-09T00:00:00"/>
    <n v="2367.4"/>
  </r>
  <r>
    <x v="47"/>
    <s v="High"/>
    <n v="886"/>
    <n v="3"/>
    <n v="350"/>
    <s v=" $3,10,100.00 "/>
    <s v="$37,212.00"/>
    <s v=" $2,72,888.00 "/>
    <s v=" $2,30,360.00 "/>
    <d v="2014-01-06T00:00:00"/>
    <n v="272888"/>
  </r>
  <r>
    <x v="72"/>
    <s v="High"/>
    <n v="2416"/>
    <n v="3"/>
    <n v="125"/>
    <s v=" $3,02,000.00 "/>
    <s v="$36,240.00"/>
    <s v=" $2,65,760.00 "/>
    <s v=" $2,89,920.00 "/>
    <d v="2013-01-09T00:00:00"/>
    <n v="265760"/>
  </r>
  <r>
    <x v="134"/>
    <s v="High"/>
    <n v="2156"/>
    <n v="3"/>
    <n v="125"/>
    <s v=" $2,69,500.00 "/>
    <s v="$32,340.00"/>
    <s v=" $2,37,160.00 "/>
    <s v=" $2,58,720.00 "/>
    <d v="2014-01-10T00:00:00"/>
    <n v="237160"/>
  </r>
  <r>
    <x v="118"/>
    <s v="High"/>
    <n v="2689"/>
    <n v="3"/>
    <n v="15"/>
    <n v="40335"/>
    <s v="$4,840.20"/>
    <n v="35494.800000000003"/>
    <n v="26890"/>
    <d v="2014-01-11T00:00:00"/>
    <n v="35494.800000000003"/>
  </r>
  <r>
    <x v="13"/>
    <s v="High"/>
    <n v="677"/>
    <n v="5"/>
    <n v="15"/>
    <n v="10155"/>
    <s v="$1,218.60"/>
    <n v="8936.4"/>
    <n v="6770"/>
    <d v="2014-01-03T00:00:00"/>
    <n v="8936.4"/>
  </r>
  <r>
    <x v="129"/>
    <s v="High"/>
    <n v="1773"/>
    <n v="5"/>
    <n v="300"/>
    <s v=" $5,31,900.00 "/>
    <s v="$63,828.00"/>
    <s v=" $4,68,072.00 "/>
    <s v=" $4,43,250.00 "/>
    <d v="2014-01-04T00:00:00"/>
    <n v="468072"/>
  </r>
  <r>
    <x v="114"/>
    <s v="High"/>
    <n v="2420"/>
    <n v="5"/>
    <n v="7"/>
    <n v="16940"/>
    <s v="$2,032.80"/>
    <n v="14907.2"/>
    <n v="12100"/>
    <d v="2014-01-09T00:00:00"/>
    <n v="14907.2"/>
  </r>
  <r>
    <x v="56"/>
    <s v="High"/>
    <n v="2734"/>
    <n v="5"/>
    <n v="7"/>
    <n v="19138"/>
    <s v="$2,296.56"/>
    <n v="16841.439999999999"/>
    <n v="13670"/>
    <d v="2014-01-10T00:00:00"/>
    <n v="16841.439999999999"/>
  </r>
  <r>
    <x v="114"/>
    <s v="High"/>
    <n v="1715"/>
    <n v="5"/>
    <n v="20"/>
    <n v="34300"/>
    <s v="$4,116.00"/>
    <n v="30184"/>
    <n v="17150"/>
    <d v="2013-01-10T00:00:00"/>
    <n v="30184"/>
  </r>
  <r>
    <x v="129"/>
    <s v="High"/>
    <n v="1186"/>
    <n v="5"/>
    <n v="300"/>
    <s v=" $3,55,800.00 "/>
    <s v="$42,696.00"/>
    <s v=" $3,13,104.00 "/>
    <s v=" $2,96,500.00 "/>
    <d v="2013-01-12T00:00:00"/>
    <n v="313104"/>
  </r>
  <r>
    <x v="63"/>
    <s v="High"/>
    <n v="3495"/>
    <n v="10"/>
    <n v="300"/>
    <s v=" $10,48,500.00 "/>
    <s v=" $1,25,820.00 "/>
    <s v=" $9,22,680.00 "/>
    <s v=" $8,73,750.00 "/>
    <d v="2014-01-01T00:00:00"/>
    <n v="922680"/>
  </r>
  <r>
    <x v="19"/>
    <s v="High"/>
    <n v="886"/>
    <n v="10"/>
    <n v="350"/>
    <s v=" $3,10,100.00 "/>
    <s v="$37,212.00"/>
    <s v=" $2,72,888.00 "/>
    <s v=" $2,30,360.00 "/>
    <d v="2014-01-06T00:00:00"/>
    <n v="272888"/>
  </r>
  <r>
    <x v="61"/>
    <s v="High"/>
    <n v="2156"/>
    <n v="10"/>
    <n v="125"/>
    <s v=" $2,69,500.00 "/>
    <s v="$32,340.00"/>
    <s v=" $2,37,160.00 "/>
    <s v=" $2,58,720.00 "/>
    <d v="2014-01-10T00:00:00"/>
    <n v="237160"/>
  </r>
  <r>
    <x v="19"/>
    <s v="High"/>
    <n v="905"/>
    <n v="10"/>
    <n v="20"/>
    <n v="18100"/>
    <s v="$2,172.00"/>
    <n v="15928"/>
    <n v="9050"/>
    <d v="2014-01-10T00:00:00"/>
    <n v="15928"/>
  </r>
  <r>
    <x v="19"/>
    <s v="High"/>
    <n v="1715"/>
    <n v="10"/>
    <n v="20"/>
    <n v="34300"/>
    <s v="$4,116.00"/>
    <n v="30184"/>
    <n v="17150"/>
    <d v="2013-01-10T00:00:00"/>
    <n v="30184"/>
  </r>
  <r>
    <x v="44"/>
    <s v="High"/>
    <n v="1594"/>
    <n v="10"/>
    <n v="350"/>
    <s v=" $5,57,900.00 "/>
    <s v="$66,948.00"/>
    <s v=" $4,90,952.00 "/>
    <s v=" $4,14,440.00 "/>
    <d v="2014-01-11T00:00:00"/>
    <n v="490952"/>
  </r>
  <r>
    <x v="79"/>
    <s v="High"/>
    <n v="1359"/>
    <n v="10"/>
    <n v="300"/>
    <s v=" $4,07,700.00 "/>
    <s v="$48,924.00"/>
    <s v=" $3,58,776.00 "/>
    <s v=" $3,39,750.00 "/>
    <d v="2014-01-11T00:00:00"/>
    <n v="358776"/>
  </r>
  <r>
    <x v="21"/>
    <s v="High"/>
    <n v="2150"/>
    <n v="10"/>
    <n v="300"/>
    <s v=" $6,45,000.00 "/>
    <s v="$77,400.00"/>
    <s v=" $5,67,600.00 "/>
    <s v=" $5,37,500.00 "/>
    <d v="2014-01-11T00:00:00"/>
    <n v="567600"/>
  </r>
  <r>
    <x v="19"/>
    <s v="High"/>
    <n v="1197"/>
    <n v="10"/>
    <n v="350"/>
    <s v=" $4,18,950.00 "/>
    <s v="$50,274.00"/>
    <s v=" $3,68,676.00 "/>
    <s v=" $3,11,220.00 "/>
    <d v="2014-01-11T00:00:00"/>
    <n v="368676"/>
  </r>
  <r>
    <x v="15"/>
    <s v="High"/>
    <n v="380"/>
    <n v="10"/>
    <n v="15"/>
    <n v="5700"/>
    <s v="$684.00"/>
    <n v="5016"/>
    <n v="3800"/>
    <d v="2013-01-12T00:00:00"/>
    <n v="5016"/>
  </r>
  <r>
    <x v="19"/>
    <s v="High"/>
    <n v="1233"/>
    <n v="10"/>
    <n v="20"/>
    <n v="24660"/>
    <s v="$2,959.20"/>
    <n v="21700.799999999999"/>
    <n v="12330"/>
    <d v="2014-01-12T00:00:00"/>
    <n v="21700.799999999999"/>
  </r>
  <r>
    <x v="25"/>
    <s v="High"/>
    <n v="1395"/>
    <n v="120"/>
    <n v="350"/>
    <s v=" $4,88,250.00 "/>
    <s v="$58,590.00"/>
    <s v=" $4,29,660.00 "/>
    <s v=" $3,62,700.00 "/>
    <d v="2014-01-07T00:00:00"/>
    <n v="429660"/>
  </r>
  <r>
    <x v="85"/>
    <s v="High"/>
    <n v="986"/>
    <n v="120"/>
    <n v="350"/>
    <s v=" $3,45,100.00 "/>
    <s v="$41,412.00"/>
    <s v=" $3,03,688.00 "/>
    <s v=" $2,56,360.00 "/>
    <d v="2014-01-10T00:00:00"/>
    <n v="303688"/>
  </r>
  <r>
    <x v="25"/>
    <s v="High"/>
    <n v="905"/>
    <n v="120"/>
    <n v="20"/>
    <n v="18100"/>
    <s v="$2,172.00"/>
    <n v="15928"/>
    <n v="9050"/>
    <d v="2014-01-10T00:00:00"/>
    <n v="15928"/>
  </r>
  <r>
    <x v="131"/>
    <s v="High"/>
    <n v="2109"/>
    <n v="250"/>
    <n v="12"/>
    <n v="25308"/>
    <s v="$3,036.96"/>
    <n v="22271.040000000001"/>
    <n v="6327"/>
    <d v="2014-01-05T00:00:00"/>
    <n v="22271.040000000001"/>
  </r>
  <r>
    <x v="33"/>
    <s v="High"/>
    <n v="3874.5"/>
    <n v="250"/>
    <n v="15"/>
    <n v="58117.5"/>
    <s v="$6,974.10"/>
    <n v="51143.4"/>
    <n v="38745"/>
    <d v="2014-01-07T00:00:00"/>
    <n v="51143.4"/>
  </r>
  <r>
    <x v="37"/>
    <s v="High"/>
    <n v="623"/>
    <n v="250"/>
    <n v="350"/>
    <s v=" $2,18,050.00 "/>
    <s v="$26,166.00"/>
    <s v=" $1,91,884.00 "/>
    <s v=" $1,61,980.00 "/>
    <d v="2013-01-09T00:00:00"/>
    <n v="191884"/>
  </r>
  <r>
    <x v="92"/>
    <s v="High"/>
    <n v="986"/>
    <n v="250"/>
    <n v="350"/>
    <s v=" $3,45,100.00 "/>
    <s v="$41,412.00"/>
    <s v=" $3,03,688.00 "/>
    <s v=" $2,56,360.00 "/>
    <d v="2014-01-10T00:00:00"/>
    <n v="303688"/>
  </r>
  <r>
    <x v="66"/>
    <s v="High"/>
    <n v="2387"/>
    <n v="250"/>
    <n v="125"/>
    <s v=" $2,98,375.00 "/>
    <s v="$35,805.00"/>
    <s v=" $2,62,570.00 "/>
    <s v=" $2,86,440.00 "/>
    <d v="2014-01-11T00:00:00"/>
    <n v="262570"/>
  </r>
  <r>
    <x v="70"/>
    <s v="High"/>
    <n v="1233"/>
    <n v="250"/>
    <n v="20"/>
    <n v="24660"/>
    <s v="$2,959.20"/>
    <n v="21700.799999999999"/>
    <n v="12330"/>
    <d v="2014-01-12T00:00:00"/>
    <n v="21700.799999999999"/>
  </r>
  <r>
    <x v="42"/>
    <s v="High"/>
    <n v="270"/>
    <n v="260"/>
    <n v="350"/>
    <n v="94500"/>
    <s v="$11,340.00"/>
    <n v="83160"/>
    <n v="70200"/>
    <d v="2014-01-02T00:00:00"/>
    <n v="83160"/>
  </r>
  <r>
    <x v="38"/>
    <s v="High"/>
    <n v="3421.5"/>
    <n v="260"/>
    <n v="7"/>
    <n v="23950.5"/>
    <s v="$2,874.06"/>
    <n v="21076.44"/>
    <n v="17107.5"/>
    <d v="2014-01-07T00:00:00"/>
    <n v="21076.44"/>
  </r>
  <r>
    <x v="110"/>
    <s v="High"/>
    <n v="2734"/>
    <n v="260"/>
    <n v="7"/>
    <n v="19138"/>
    <s v="$2,296.56"/>
    <n v="16841.439999999999"/>
    <n v="13670"/>
    <d v="2014-01-10T00:00:00"/>
    <n v="16841.439999999999"/>
  </r>
  <r>
    <x v="43"/>
    <s v="High"/>
    <n v="2548"/>
    <n v="260"/>
    <n v="15"/>
    <n v="38220"/>
    <s v="$4,586.40"/>
    <n v="33633.599999999999"/>
    <n v="25480"/>
    <d v="2013-01-11T00:00:00"/>
    <n v="33633.599999999999"/>
  </r>
  <r>
    <x v="54"/>
    <s v="High"/>
    <n v="2521.5"/>
    <n v="3"/>
    <n v="20"/>
    <n v="50430"/>
    <s v="$6,051.60"/>
    <n v="44378.400000000001"/>
    <n v="25215"/>
    <d v="2014-01-01T00:00:00"/>
    <n v="44378.400000000001"/>
  </r>
  <r>
    <x v="76"/>
    <s v="High"/>
    <n v="2661"/>
    <n v="5"/>
    <n v="12"/>
    <n v="31932"/>
    <s v="$3,831.84"/>
    <n v="28100.16"/>
    <n v="7983"/>
    <d v="2014-01-05T00:00:00"/>
    <n v="28100.16"/>
  </r>
  <r>
    <x v="17"/>
    <s v="High"/>
    <n v="1531"/>
    <n v="10"/>
    <n v="20"/>
    <n v="30620"/>
    <s v="$3,674.40"/>
    <n v="26945.599999999999"/>
    <n v="15310"/>
    <d v="2014-01-12T00:00:00"/>
    <n v="26945.599999999999"/>
  </r>
  <r>
    <x v="35"/>
    <s v="High"/>
    <n v="1491"/>
    <n v="250"/>
    <n v="7"/>
    <n v="10437"/>
    <s v="$1,252.44"/>
    <n v="9184.56"/>
    <n v="7455"/>
    <d v="2014-01-03T00:00:00"/>
    <n v="9184.56"/>
  </r>
  <r>
    <x v="65"/>
    <s v="High"/>
    <n v="1531"/>
    <n v="250"/>
    <n v="20"/>
    <n v="30620"/>
    <s v="$3,674.40"/>
    <n v="26945.599999999999"/>
    <n v="15310"/>
    <d v="2014-01-12T00:00:00"/>
    <n v="26945.599999999999"/>
  </r>
  <r>
    <x v="145"/>
    <s v="High"/>
    <n v="2761"/>
    <n v="260"/>
    <n v="12"/>
    <n v="33132"/>
    <s v="$3,975.84"/>
    <n v="29156.16"/>
    <n v="8283"/>
    <d v="2013-01-09T00:00:00"/>
    <n v="29156.16"/>
  </r>
  <r>
    <x v="120"/>
    <s v="High"/>
    <n v="2567"/>
    <n v="3"/>
    <n v="15"/>
    <n v="38505"/>
    <s v="$5,005.65"/>
    <n v="33499.35"/>
    <n v="25670"/>
    <d v="2014-01-06T00:00:00"/>
    <n v="33499.35"/>
  </r>
  <r>
    <x v="126"/>
    <s v="High"/>
    <n v="2567"/>
    <n v="250"/>
    <n v="15"/>
    <n v="38505"/>
    <s v="$5,005.65"/>
    <n v="33499.35"/>
    <n v="25670"/>
    <d v="2014-01-06T00:00:00"/>
    <n v="33499.35"/>
  </r>
  <r>
    <x v="0"/>
    <s v="High"/>
    <n v="923"/>
    <n v="3"/>
    <n v="350"/>
    <s v=" $3,23,050.00 "/>
    <s v="$41,996.50"/>
    <s v=" $2,81,053.50 "/>
    <s v=" $2,39,980.00 "/>
    <d v="2014-01-03T00:00:00"/>
    <n v="281053.5"/>
  </r>
  <r>
    <x v="54"/>
    <s v="High"/>
    <n v="1790"/>
    <n v="3"/>
    <n v="350"/>
    <s v=" $6,26,500.00 "/>
    <s v="$81,445.00"/>
    <s v=" $5,45,055.00 "/>
    <s v=" $4,65,400.00 "/>
    <d v="2014-01-03T00:00:00"/>
    <n v="545055"/>
  </r>
  <r>
    <x v="1"/>
    <s v="High"/>
    <n v="442"/>
    <n v="3"/>
    <n v="20"/>
    <n v="8840"/>
    <s v="$1,149.20"/>
    <n v="7690.8"/>
    <n v="4420"/>
    <d v="2013-01-09T00:00:00"/>
    <n v="7690.8"/>
  </r>
  <r>
    <x v="75"/>
    <s v="High"/>
    <n v="982.5"/>
    <n v="5"/>
    <n v="350"/>
    <s v=" $3,43,875.00 "/>
    <s v="$44,703.75"/>
    <s v=" $2,99,171.25 "/>
    <s v=" $2,55,450.00 "/>
    <d v="2014-01-01T00:00:00"/>
    <n v="299171.25"/>
  </r>
  <r>
    <x v="75"/>
    <s v="High"/>
    <n v="1298"/>
    <n v="5"/>
    <n v="7"/>
    <n v="9086"/>
    <s v="$1,181.18"/>
    <n v="7904.82"/>
    <n v="6490"/>
    <d v="2014-01-02T00:00:00"/>
    <n v="7904.82"/>
  </r>
  <r>
    <x v="76"/>
    <s v="High"/>
    <n v="604"/>
    <n v="5"/>
    <n v="12"/>
    <n v="7248"/>
    <s v="$942.24"/>
    <n v="6305.76"/>
    <n v="1812"/>
    <d v="2014-01-06T00:00:00"/>
    <n v="6305.76"/>
  </r>
  <r>
    <x v="114"/>
    <s v="High"/>
    <n v="2255"/>
    <n v="5"/>
    <n v="20"/>
    <n v="45100"/>
    <s v="$5,863.00"/>
    <n v="39237"/>
    <n v="22550"/>
    <d v="2014-01-07T00:00:00"/>
    <n v="39237"/>
  </r>
  <r>
    <x v="56"/>
    <s v="High"/>
    <n v="1249"/>
    <n v="5"/>
    <n v="20"/>
    <n v="24980"/>
    <s v="$3,247.40"/>
    <n v="21732.6"/>
    <n v="12490"/>
    <d v="2014-01-10T00:00:00"/>
    <n v="21732.6"/>
  </r>
  <r>
    <x v="22"/>
    <s v="High"/>
    <n v="1438.5"/>
    <n v="10"/>
    <n v="7"/>
    <n v="10069.5"/>
    <s v="$1,309.04"/>
    <n v="8760.4699999999993"/>
    <n v="7192.5"/>
    <d v="2014-01-01T00:00:00"/>
    <n v="8760.4699999999993"/>
  </r>
  <r>
    <x v="79"/>
    <s v="High"/>
    <n v="807"/>
    <n v="10"/>
    <n v="300"/>
    <s v=" $2,42,100.00 "/>
    <s v="$31,473.00"/>
    <s v=" $2,10,627.00 "/>
    <s v=" $2,01,750.00 "/>
    <d v="2014-01-01T00:00:00"/>
    <n v="210627"/>
  </r>
  <r>
    <x v="22"/>
    <s v="High"/>
    <n v="2641"/>
    <n v="10"/>
    <n v="20"/>
    <n v="52820"/>
    <s v="$6,866.60"/>
    <n v="45953.4"/>
    <n v="26410"/>
    <d v="2014-01-02T00:00:00"/>
    <n v="45953.4"/>
  </r>
  <r>
    <x v="17"/>
    <s v="High"/>
    <n v="2708"/>
    <n v="10"/>
    <n v="20"/>
    <n v="54160"/>
    <s v="$7,040.80"/>
    <n v="47119.199999999997"/>
    <n v="27080"/>
    <d v="2014-01-02T00:00:00"/>
    <n v="47119.199999999997"/>
  </r>
  <r>
    <x v="14"/>
    <s v="High"/>
    <n v="2632"/>
    <n v="10"/>
    <n v="350"/>
    <s v=" $9,21,200.00 "/>
    <s v=" $1,19,756.00 "/>
    <s v=" $8,01,444.00 "/>
    <s v=" $6,84,320.00 "/>
    <d v="2014-01-06T00:00:00"/>
    <n v="801444"/>
  </r>
  <r>
    <x v="83"/>
    <s v="High"/>
    <n v="1583"/>
    <n v="10"/>
    <n v="125"/>
    <s v=" $1,97,875.00 "/>
    <s v="$25,723.75"/>
    <s v=" $1,72,151.25 "/>
    <s v=" $1,89,960.00 "/>
    <d v="2014-01-06T00:00:00"/>
    <n v="172151.25"/>
  </r>
  <r>
    <x v="84"/>
    <s v="High"/>
    <n v="571"/>
    <n v="10"/>
    <n v="12"/>
    <n v="6852"/>
    <s v="$890.76"/>
    <n v="5961.24"/>
    <n v="1713"/>
    <d v="2014-01-07T00:00:00"/>
    <n v="5961.24"/>
  </r>
  <r>
    <x v="44"/>
    <s v="High"/>
    <n v="2696"/>
    <n v="10"/>
    <n v="7"/>
    <n v="18872"/>
    <s v="$2,453.36"/>
    <n v="16418.64"/>
    <n v="13480"/>
    <d v="2014-01-08T00:00:00"/>
    <n v="16418.64"/>
  </r>
  <r>
    <x v="24"/>
    <s v="High"/>
    <n v="1565"/>
    <n v="10"/>
    <n v="15"/>
    <n v="23475"/>
    <s v="$3,051.75"/>
    <n v="20423.25"/>
    <n v="15650"/>
    <d v="2014-01-10T00:00:00"/>
    <n v="20423.25"/>
  </r>
  <r>
    <x v="14"/>
    <s v="High"/>
    <n v="1249"/>
    <n v="10"/>
    <n v="20"/>
    <n v="24980"/>
    <s v="$3,247.40"/>
    <n v="21732.6"/>
    <n v="12490"/>
    <d v="2014-01-10T00:00:00"/>
    <n v="21732.6"/>
  </r>
  <r>
    <x v="17"/>
    <s v="High"/>
    <n v="357"/>
    <n v="10"/>
    <n v="350"/>
    <s v=" $1,24,950.00 "/>
    <s v="$16,243.50"/>
    <s v=" $1,08,706.50 "/>
    <n v="92820"/>
    <d v="2014-01-11T00:00:00"/>
    <n v="108706.5"/>
  </r>
  <r>
    <x v="18"/>
    <s v="High"/>
    <n v="1013"/>
    <n v="10"/>
    <n v="12"/>
    <n v="12156"/>
    <s v="$1,580.28"/>
    <n v="10575.72"/>
    <n v="3039"/>
    <d v="2014-01-12T00:00:00"/>
    <n v="10575.72"/>
  </r>
  <r>
    <x v="149"/>
    <s v="High"/>
    <n v="3997.5"/>
    <n v="120"/>
    <n v="15"/>
    <n v="59962.5"/>
    <s v="$7,795.13"/>
    <n v="52167.38"/>
    <n v="39975"/>
    <d v="2014-01-01T00:00:00"/>
    <n v="52167.38"/>
  </r>
  <r>
    <x v="64"/>
    <s v="High"/>
    <n v="2632"/>
    <n v="120"/>
    <n v="350"/>
    <s v=" $9,21,200.00 "/>
    <s v=" $1,19,756.00 "/>
    <s v=" $8,01,444.00 "/>
    <s v=" $6,84,320.00 "/>
    <d v="2014-01-06T00:00:00"/>
    <n v="801444"/>
  </r>
  <r>
    <x v="45"/>
    <s v="High"/>
    <n v="1190"/>
    <n v="120"/>
    <n v="7"/>
    <n v="8330"/>
    <s v="$1,082.90"/>
    <n v="7247.1"/>
    <n v="5950"/>
    <d v="2014-01-06T00:00:00"/>
    <n v="7247.1"/>
  </r>
  <r>
    <x v="89"/>
    <s v="High"/>
    <n v="604"/>
    <n v="120"/>
    <n v="12"/>
    <n v="7248"/>
    <s v="$942.24"/>
    <n v="6305.76"/>
    <n v="1812"/>
    <d v="2014-01-06T00:00:00"/>
    <n v="6305.76"/>
  </r>
  <r>
    <x v="122"/>
    <s v="High"/>
    <n v="660"/>
    <n v="120"/>
    <n v="15"/>
    <n v="9900"/>
    <s v="$1,287.00"/>
    <n v="8613"/>
    <n v="6600"/>
    <d v="2013-01-09T00:00:00"/>
    <n v="8613"/>
  </r>
  <r>
    <x v="89"/>
    <s v="High"/>
    <n v="410"/>
    <n v="120"/>
    <n v="12"/>
    <n v="4920"/>
    <s v="$639.60"/>
    <n v="4280.3999999999996"/>
    <n v="1230"/>
    <d v="2014-01-10T00:00:00"/>
    <n v="4280.3999999999996"/>
  </r>
  <r>
    <x v="137"/>
    <s v="High"/>
    <n v="2605"/>
    <n v="120"/>
    <n v="300"/>
    <s v=" $7,81,500.00 "/>
    <s v=" $1,01,595.00 "/>
    <s v=" $6,79,905.00 "/>
    <s v=" $6,51,250.00 "/>
    <d v="2013-01-11T00:00:00"/>
    <n v="679905"/>
  </r>
  <r>
    <x v="27"/>
    <s v="High"/>
    <n v="1013"/>
    <n v="120"/>
    <n v="12"/>
    <n v="12156"/>
    <s v="$1,580.28"/>
    <n v="10575.72"/>
    <n v="3039"/>
    <d v="2014-01-12T00:00:00"/>
    <n v="10575.72"/>
  </r>
  <r>
    <x v="91"/>
    <s v="High"/>
    <n v="1583"/>
    <n v="250"/>
    <n v="125"/>
    <s v=" $1,97,875.00 "/>
    <s v="$25,723.75"/>
    <s v=" $1,72,151.25 "/>
    <s v=" $1,89,960.00 "/>
    <d v="2014-01-06T00:00:00"/>
    <n v="172151.25"/>
  </r>
  <r>
    <x v="124"/>
    <s v="High"/>
    <n v="1565"/>
    <n v="250"/>
    <n v="15"/>
    <n v="23475"/>
    <s v="$3,051.75"/>
    <n v="20423.25"/>
    <n v="15650"/>
    <d v="2014-01-10T00:00:00"/>
    <n v="20423.25"/>
  </r>
  <r>
    <x v="132"/>
    <s v="High"/>
    <n v="1659"/>
    <n v="260"/>
    <n v="125"/>
    <s v=" $2,07,375.00 "/>
    <s v="$26,958.75"/>
    <s v=" $1,80,416.25 "/>
    <s v=" $1,99,080.00 "/>
    <d v="2014-01-01T00:00:00"/>
    <n v="180416.25"/>
  </r>
  <r>
    <x v="38"/>
    <s v="High"/>
    <n v="1190"/>
    <n v="260"/>
    <n v="7"/>
    <n v="8330"/>
    <s v="$1,082.90"/>
    <n v="7247.1"/>
    <n v="5950"/>
    <d v="2014-01-06T00:00:00"/>
    <n v="7247.1"/>
  </r>
  <r>
    <x v="112"/>
    <s v="High"/>
    <n v="410"/>
    <n v="260"/>
    <n v="12"/>
    <n v="4920"/>
    <s v="$639.60"/>
    <n v="4280.3999999999996"/>
    <n v="1230"/>
    <d v="2014-01-10T00:00:00"/>
    <n v="4280.3999999999996"/>
  </r>
  <r>
    <x v="146"/>
    <s v="High"/>
    <n v="1770"/>
    <n v="260"/>
    <n v="12"/>
    <n v="21240"/>
    <s v="$2,761.20"/>
    <n v="18478.8"/>
    <n v="5310"/>
    <d v="2013-01-12T00:00:00"/>
    <n v="18478.8"/>
  </r>
  <r>
    <x v="47"/>
    <s v="High"/>
    <n v="2579"/>
    <n v="3"/>
    <n v="20"/>
    <n v="51580"/>
    <s v="$7,221.20"/>
    <n v="44358.8"/>
    <n v="25790"/>
    <d v="2014-01-04T00:00:00"/>
    <n v="44358.8"/>
  </r>
  <r>
    <x v="48"/>
    <s v="High"/>
    <n v="1743"/>
    <n v="3"/>
    <n v="20"/>
    <n v="34860"/>
    <s v="$4,880.40"/>
    <n v="29979.599999999999"/>
    <n v="17430"/>
    <d v="2014-01-05T00:00:00"/>
    <n v="29979.599999999999"/>
  </r>
  <r>
    <x v="48"/>
    <s v="High"/>
    <n v="2996"/>
    <n v="3"/>
    <n v="7"/>
    <n v="20972"/>
    <s v="$2,936.08"/>
    <n v="18035.919999999998"/>
    <n v="14980"/>
    <d v="2013-01-10T00:00:00"/>
    <n v="18035.919999999998"/>
  </r>
  <r>
    <x v="1"/>
    <s v="High"/>
    <n v="280"/>
    <n v="3"/>
    <n v="7"/>
    <n v="1960"/>
    <s v="$274.40"/>
    <n v="1685.6"/>
    <n v="1400"/>
    <d v="2014-01-12T00:00:00"/>
    <n v="1685.6"/>
  </r>
  <r>
    <x v="7"/>
    <s v="High"/>
    <n v="293"/>
    <n v="5"/>
    <n v="7"/>
    <n v="2051"/>
    <s v="$287.14"/>
    <n v="1763.86"/>
    <n v="1465"/>
    <d v="2014-01-02T00:00:00"/>
    <n v="1763.86"/>
  </r>
  <r>
    <x v="75"/>
    <s v="High"/>
    <n v="2996"/>
    <n v="5"/>
    <n v="7"/>
    <n v="20972"/>
    <s v="$2,936.08"/>
    <n v="18035.919999999998"/>
    <n v="14980"/>
    <d v="2013-01-10T00:00:00"/>
    <n v="18035.919999999998"/>
  </r>
  <r>
    <x v="62"/>
    <s v="High"/>
    <n v="278"/>
    <n v="10"/>
    <n v="15"/>
    <n v="4170"/>
    <s v="$583.80"/>
    <n v="3586.2"/>
    <n v="2780"/>
    <d v="2014-01-02T00:00:00"/>
    <n v="3586.2"/>
  </r>
  <r>
    <x v="14"/>
    <s v="High"/>
    <n v="2428"/>
    <n v="10"/>
    <n v="20"/>
    <n v="48560"/>
    <s v="$6,798.40"/>
    <n v="41761.599999999999"/>
    <n v="24280"/>
    <d v="2014-01-03T00:00:00"/>
    <n v="41761.599999999999"/>
  </r>
  <r>
    <x v="58"/>
    <s v="High"/>
    <n v="1767"/>
    <n v="10"/>
    <n v="15"/>
    <n v="26505"/>
    <s v="$3,710.70"/>
    <n v="22794.3"/>
    <n v="17670"/>
    <d v="2014-01-09T00:00:00"/>
    <n v="22794.3"/>
  </r>
  <r>
    <x v="81"/>
    <s v="High"/>
    <n v="1393"/>
    <n v="10"/>
    <n v="12"/>
    <n v="16716"/>
    <s v="$2,340.24"/>
    <n v="14375.76"/>
    <n v="4179"/>
    <d v="2014-01-10T00:00:00"/>
    <n v="14375.76"/>
  </r>
  <r>
    <x v="65"/>
    <s v="High"/>
    <n v="280"/>
    <n v="250"/>
    <n v="7"/>
    <n v="1960"/>
    <s v="$274.40"/>
    <n v="1685.6"/>
    <n v="1400"/>
    <d v="2014-01-12T00:00:00"/>
    <n v="1685.6"/>
  </r>
  <r>
    <x v="143"/>
    <s v="High"/>
    <n v="1393"/>
    <n v="260"/>
    <n v="12"/>
    <n v="16716"/>
    <s v="$2,340.24"/>
    <n v="14375.76"/>
    <n v="4179"/>
    <d v="2014-01-10T00:00:00"/>
    <n v="14375.76"/>
  </r>
  <r>
    <x v="39"/>
    <s v="High"/>
    <n v="2015"/>
    <n v="260"/>
    <n v="12"/>
    <n v="24180"/>
    <s v="$3,385.20"/>
    <n v="20794.8"/>
    <n v="6045"/>
    <d v="2013-01-12T00:00:00"/>
    <n v="20794.8"/>
  </r>
  <r>
    <x v="53"/>
    <s v="High"/>
    <n v="801"/>
    <n v="3"/>
    <n v="300"/>
    <s v=" $2,40,300.00 "/>
    <s v="$33,642.00"/>
    <s v=" $2,06,658.00 "/>
    <s v=" $2,00,250.00 "/>
    <d v="2014-01-07T00:00:00"/>
    <n v="206658"/>
  </r>
  <r>
    <x v="96"/>
    <s v="High"/>
    <n v="1023"/>
    <n v="3"/>
    <n v="125"/>
    <s v=" $1,27,875.00 "/>
    <s v="$17,902.50"/>
    <s v=" $1,09,972.50 "/>
    <s v=" $1,22,760.00 "/>
    <d v="2013-01-09T00:00:00"/>
    <n v="109972.5"/>
  </r>
  <r>
    <x v="139"/>
    <s v="High"/>
    <n v="1496"/>
    <n v="3"/>
    <n v="300"/>
    <s v=" $4,48,800.00 "/>
    <s v="$62,832.00"/>
    <s v=" $3,85,968.00 "/>
    <s v=" $3,74,000.00 "/>
    <d v="2014-01-10T00:00:00"/>
    <n v="385968"/>
  </r>
  <r>
    <x v="113"/>
    <s v="High"/>
    <n v="1010"/>
    <n v="3"/>
    <n v="300"/>
    <s v=" $3,03,000.00 "/>
    <s v="$42,420.00"/>
    <s v=" $2,60,580.00 "/>
    <s v=" $2,52,500.00 "/>
    <d v="2014-01-10T00:00:00"/>
    <n v="260580"/>
  </r>
  <r>
    <x v="3"/>
    <s v="High"/>
    <n v="1513"/>
    <n v="3"/>
    <n v="15"/>
    <n v="22695"/>
    <s v="$3,177.30"/>
    <n v="19517.7"/>
    <n v="15130"/>
    <d v="2014-01-11T00:00:00"/>
    <n v="19517.7"/>
  </r>
  <r>
    <x v="118"/>
    <s v="High"/>
    <n v="2300"/>
    <n v="3"/>
    <n v="15"/>
    <n v="34500"/>
    <s v="$4,830.00"/>
    <n v="29670"/>
    <n v="23000"/>
    <d v="2014-01-12T00:00:00"/>
    <n v="29670"/>
  </r>
  <r>
    <x v="134"/>
    <s v="High"/>
    <n v="2821"/>
    <n v="3"/>
    <n v="125"/>
    <s v=" $3,52,625.00 "/>
    <s v="$49,367.50"/>
    <s v=" $3,03,257.50 "/>
    <s v=" $3,38,520.00 "/>
    <d v="2013-01-12T00:00:00"/>
    <n v="303257.5"/>
  </r>
  <r>
    <x v="56"/>
    <s v="High"/>
    <n v="2227.5"/>
    <n v="5"/>
    <n v="350"/>
    <s v=" $7,79,625.00 "/>
    <s v=" $1,09,147.50 "/>
    <s v=" $6,70,477.50 "/>
    <s v=" $5,79,150.00 "/>
    <d v="2014-01-01T00:00:00"/>
    <n v="670477.5"/>
  </r>
  <r>
    <x v="12"/>
    <s v="High"/>
    <n v="1199"/>
    <n v="5"/>
    <n v="350"/>
    <s v=" $4,19,650.00 "/>
    <s v="$58,751.00"/>
    <s v=" $3,60,899.00 "/>
    <s v=" $3,11,740.00 "/>
    <d v="2014-01-04T00:00:00"/>
    <n v="360899"/>
  </r>
  <r>
    <x v="56"/>
    <s v="High"/>
    <n v="200"/>
    <n v="5"/>
    <n v="350"/>
    <n v="70000"/>
    <s v="$9,800.00"/>
    <n v="60200"/>
    <n v="52000"/>
    <d v="2014-01-05T00:00:00"/>
    <n v="60200"/>
  </r>
  <r>
    <x v="56"/>
    <s v="High"/>
    <n v="388"/>
    <n v="5"/>
    <n v="7"/>
    <n v="2716"/>
    <s v="$380.24"/>
    <n v="2335.7600000000002"/>
    <n v="1940"/>
    <d v="2014-01-09T00:00:00"/>
    <n v="2335.7600000000002"/>
  </r>
  <r>
    <x v="114"/>
    <s v="High"/>
    <n v="1727"/>
    <n v="5"/>
    <n v="7"/>
    <n v="12089"/>
    <s v="$1,692.46"/>
    <n v="10396.540000000001"/>
    <n v="8635"/>
    <d v="2013-01-10T00:00:00"/>
    <n v="10396.540000000001"/>
  </r>
  <r>
    <x v="103"/>
    <s v="High"/>
    <n v="2300"/>
    <n v="5"/>
    <n v="15"/>
    <n v="34500"/>
    <s v="$4,830.00"/>
    <n v="29670"/>
    <n v="23000"/>
    <d v="2014-01-12T00:00:00"/>
    <n v="29670"/>
  </r>
  <r>
    <x v="19"/>
    <s v="High"/>
    <n v="260"/>
    <n v="10"/>
    <n v="20"/>
    <n v="5200"/>
    <s v="$728.00"/>
    <n v="4472"/>
    <n v="2600"/>
    <d v="2014-01-02T00:00:00"/>
    <n v="4472"/>
  </r>
  <r>
    <x v="24"/>
    <s v="High"/>
    <n v="2470"/>
    <n v="10"/>
    <n v="15"/>
    <n v="37050"/>
    <s v="$5,187.00"/>
    <n v="31863"/>
    <n v="24700"/>
    <d v="2013-01-09T00:00:00"/>
    <n v="31863"/>
  </r>
  <r>
    <x v="24"/>
    <s v="High"/>
    <n v="1743"/>
    <n v="10"/>
    <n v="15"/>
    <n v="26145"/>
    <s v="$3,660.30"/>
    <n v="22484.7"/>
    <n v="17430"/>
    <d v="2013-01-10T00:00:00"/>
    <n v="22484.7"/>
  </r>
  <r>
    <x v="23"/>
    <s v="High"/>
    <n v="2914"/>
    <n v="10"/>
    <n v="12"/>
    <n v="34968"/>
    <s v="$4,895.52"/>
    <n v="30072.48"/>
    <n v="8742"/>
    <d v="2014-01-10T00:00:00"/>
    <n v="30072.48"/>
  </r>
  <r>
    <x v="44"/>
    <s v="High"/>
    <n v="1731"/>
    <n v="10"/>
    <n v="7"/>
    <n v="12117"/>
    <s v="$1,696.38"/>
    <n v="10420.620000000001"/>
    <n v="8655"/>
    <d v="2014-01-10T00:00:00"/>
    <n v="10420.620000000001"/>
  </r>
  <r>
    <x v="14"/>
    <s v="High"/>
    <n v="700"/>
    <n v="10"/>
    <n v="350"/>
    <s v=" $2,45,000.00 "/>
    <s v="$34,300.00"/>
    <s v=" $2,10,700.00 "/>
    <s v=" $1,82,000.00 "/>
    <d v="2014-01-11T00:00:00"/>
    <n v="210700"/>
  </r>
  <r>
    <x v="16"/>
    <s v="High"/>
    <n v="2222"/>
    <n v="10"/>
    <n v="12"/>
    <n v="26664"/>
    <s v="$3,732.96"/>
    <n v="22931.040000000001"/>
    <n v="6666"/>
    <d v="2013-01-11T00:00:00"/>
    <n v="22931.040000000001"/>
  </r>
  <r>
    <x v="22"/>
    <s v="High"/>
    <n v="1177"/>
    <n v="10"/>
    <n v="350"/>
    <s v=" $4,11,950.00 "/>
    <s v="$57,673.00"/>
    <s v=" $3,54,277.00 "/>
    <s v=" $3,06,020.00 "/>
    <d v="2014-01-11T00:00:00"/>
    <n v="354277"/>
  </r>
  <r>
    <x v="44"/>
    <s v="High"/>
    <n v="1922"/>
    <n v="10"/>
    <n v="350"/>
    <s v=" $6,72,700.00 "/>
    <s v="$94,178.00"/>
    <s v=" $5,78,522.00 "/>
    <s v=" $4,99,720.00 "/>
    <d v="2013-01-11T00:00:00"/>
    <n v="578522"/>
  </r>
  <r>
    <x v="87"/>
    <s v="High"/>
    <n v="1575"/>
    <n v="120"/>
    <n v="125"/>
    <s v=" $1,96,875.00 "/>
    <s v="$27,562.50"/>
    <s v=" $1,69,312.50 "/>
    <s v=" $1,89,000.00 "/>
    <d v="2014-01-02T00:00:00"/>
    <n v="169312.5"/>
  </r>
  <r>
    <x v="85"/>
    <s v="High"/>
    <n v="606"/>
    <n v="120"/>
    <n v="20"/>
    <n v="12120"/>
    <s v="$1,696.80"/>
    <n v="10423.200000000001"/>
    <n v="6060"/>
    <d v="2014-01-04T00:00:00"/>
    <n v="10423.200000000001"/>
  </r>
  <r>
    <x v="130"/>
    <s v="High"/>
    <n v="2460"/>
    <n v="120"/>
    <n v="300"/>
    <s v=" $7,38,000.00 "/>
    <s v=" $1,03,320.00 "/>
    <s v=" $6,34,680.00 "/>
    <s v=" $6,15,000.00 "/>
    <d v="2014-01-07T00:00:00"/>
    <n v="634680"/>
  </r>
  <r>
    <x v="140"/>
    <s v="High"/>
    <n v="269"/>
    <n v="120"/>
    <n v="300"/>
    <n v="80700"/>
    <s v="$11,298.00"/>
    <n v="69402"/>
    <n v="67250"/>
    <d v="2013-01-10T00:00:00"/>
    <n v="69402"/>
  </r>
  <r>
    <x v="117"/>
    <s v="High"/>
    <n v="2536"/>
    <n v="120"/>
    <n v="300"/>
    <s v=" $7,60,800.00 "/>
    <s v=" $1,06,512.00 "/>
    <s v=" $6,54,288.00 "/>
    <s v=" $6,34,000.00 "/>
    <d v="2013-01-11T00:00:00"/>
    <n v="654288"/>
  </r>
  <r>
    <x v="70"/>
    <s v="High"/>
    <n v="2903"/>
    <n v="250"/>
    <n v="7"/>
    <n v="20321"/>
    <s v="$2,844.94"/>
    <n v="17476.060000000001"/>
    <n v="14515"/>
    <d v="2014-01-03T00:00:00"/>
    <n v="17476.060000000001"/>
  </r>
  <r>
    <x v="100"/>
    <s v="High"/>
    <n v="2541"/>
    <n v="250"/>
    <n v="300"/>
    <s v=" $7,62,300.00 "/>
    <s v=" $1,06,722.00 "/>
    <s v=" $6,55,578.00 "/>
    <s v=" $6,35,250.00 "/>
    <d v="2014-01-08T00:00:00"/>
    <n v="655578"/>
  </r>
  <r>
    <x v="31"/>
    <s v="High"/>
    <n v="269"/>
    <n v="250"/>
    <n v="300"/>
    <n v="80700"/>
    <s v="$11,298.00"/>
    <n v="69402"/>
    <n v="67250"/>
    <d v="2013-01-10T00:00:00"/>
    <n v="69402"/>
  </r>
  <r>
    <x v="31"/>
    <s v="High"/>
    <n v="1496"/>
    <n v="250"/>
    <n v="300"/>
    <s v=" $4,48,800.00 "/>
    <s v="$62,832.00"/>
    <s v=" $3,85,968.00 "/>
    <s v=" $3,74,000.00 "/>
    <d v="2014-01-10T00:00:00"/>
    <n v="385968"/>
  </r>
  <r>
    <x v="100"/>
    <s v="High"/>
    <n v="1010"/>
    <n v="250"/>
    <n v="300"/>
    <s v=" $3,03,000.00 "/>
    <s v="$42,420.00"/>
    <s v=" $2,60,580.00 "/>
    <s v=" $2,52,500.00 "/>
    <d v="2014-01-10T00:00:00"/>
    <n v="260580"/>
  </r>
  <r>
    <x v="35"/>
    <s v="High"/>
    <n v="1281"/>
    <n v="250"/>
    <n v="350"/>
    <s v=" $4,48,350.00 "/>
    <s v="$62,769.00"/>
    <s v=" $3,85,581.00 "/>
    <s v=" $3,33,060.00 "/>
    <d v="2013-01-12T00:00:00"/>
    <n v="385581"/>
  </r>
  <r>
    <x v="95"/>
    <s v="High"/>
    <n v="888"/>
    <n v="260"/>
    <n v="300"/>
    <s v=" $2,66,400.00 "/>
    <s v="$37,296.00"/>
    <s v=" $2,29,104.00 "/>
    <s v=" $2,22,000.00 "/>
    <d v="2014-01-03T00:00:00"/>
    <n v="229104"/>
  </r>
  <r>
    <x v="144"/>
    <s v="High"/>
    <n v="2844"/>
    <n v="260"/>
    <n v="125"/>
    <s v=" $3,55,500.00 "/>
    <s v="$49,770.00"/>
    <s v=" $3,05,730.00 "/>
    <s v=" $3,41,280.00 "/>
    <d v="2014-01-05T00:00:00"/>
    <n v="305730"/>
  </r>
  <r>
    <x v="143"/>
    <s v="High"/>
    <n v="2475"/>
    <n v="260"/>
    <n v="12"/>
    <n v="29700"/>
    <s v="$4,158.00"/>
    <n v="25542"/>
    <n v="7425"/>
    <d v="2014-01-08T00:00:00"/>
    <n v="25542"/>
  </r>
  <r>
    <x v="142"/>
    <s v="High"/>
    <n v="1743"/>
    <n v="260"/>
    <n v="15"/>
    <n v="26145"/>
    <s v="$3,660.30"/>
    <n v="22484.7"/>
    <n v="17430"/>
    <d v="2013-01-10T00:00:00"/>
    <n v="22484.7"/>
  </r>
  <r>
    <x v="39"/>
    <s v="High"/>
    <n v="2914"/>
    <n v="260"/>
    <n v="12"/>
    <n v="34968"/>
    <s v="$4,895.52"/>
    <n v="30072.48"/>
    <n v="8742"/>
    <d v="2014-01-10T00:00:00"/>
    <n v="30072.48"/>
  </r>
  <r>
    <x v="38"/>
    <s v="High"/>
    <n v="1731"/>
    <n v="260"/>
    <n v="7"/>
    <n v="12117"/>
    <s v="$1,696.38"/>
    <n v="10420.620000000001"/>
    <n v="8655"/>
    <d v="2014-01-10T00:00:00"/>
    <n v="10420.620000000001"/>
  </r>
  <r>
    <x v="108"/>
    <s v="High"/>
    <n v="1727"/>
    <n v="260"/>
    <n v="7"/>
    <n v="12089"/>
    <s v="$1,692.46"/>
    <n v="10396.540000000001"/>
    <n v="8635"/>
    <d v="2013-01-10T00:00:00"/>
    <n v="10396.540000000001"/>
  </r>
  <r>
    <x v="148"/>
    <s v="High"/>
    <n v="1870"/>
    <n v="260"/>
    <n v="15"/>
    <n v="28050"/>
    <s v="$3,927.00"/>
    <n v="24123"/>
    <n v="18700"/>
    <d v="2013-01-11T00:00:00"/>
    <n v="24123"/>
  </r>
  <r>
    <x v="96"/>
    <s v="High"/>
    <n v="1174"/>
    <n v="3"/>
    <n v="125"/>
    <s v=" $1,46,750.00 "/>
    <s v="$22,012.50"/>
    <s v=" $1,24,737.50 "/>
    <s v=" $1,40,880.00 "/>
    <d v="2014-01-08T00:00:00"/>
    <n v="124737.5"/>
  </r>
  <r>
    <x v="121"/>
    <s v="High"/>
    <n v="2767"/>
    <n v="3"/>
    <n v="125"/>
    <s v=" $3,45,875.00 "/>
    <s v="$51,881.25"/>
    <s v=" $2,93,993.75 "/>
    <s v=" $3,32,040.00 "/>
    <d v="2014-01-08T00:00:00"/>
    <n v="293993.75"/>
  </r>
  <r>
    <x v="121"/>
    <s v="High"/>
    <n v="1085"/>
    <n v="3"/>
    <n v="125"/>
    <s v=" $1,35,625.00 "/>
    <s v="$20,343.75"/>
    <s v=" $1,15,281.25 "/>
    <s v=" $1,30,200.00 "/>
    <d v="2014-01-10T00:00:00"/>
    <n v="115281.25"/>
  </r>
  <r>
    <x v="11"/>
    <s v="High"/>
    <n v="546"/>
    <n v="5"/>
    <n v="300"/>
    <s v=" $1,63,800.00 "/>
    <s v="$24,570.00"/>
    <s v=" $1,39,230.00 "/>
    <s v=" $1,36,500.00 "/>
    <d v="2014-01-10T00:00:00"/>
    <n v="139230"/>
  </r>
  <r>
    <x v="17"/>
    <s v="High"/>
    <n v="1158"/>
    <n v="10"/>
    <n v="20"/>
    <n v="23160"/>
    <s v="$3,474.00"/>
    <n v="19686"/>
    <n v="11580"/>
    <d v="2014-01-03T00:00:00"/>
    <n v="19686"/>
  </r>
  <r>
    <x v="24"/>
    <s v="High"/>
    <n v="1614"/>
    <n v="10"/>
    <n v="15"/>
    <n v="24210"/>
    <s v="$3,631.50"/>
    <n v="20578.5"/>
    <n v="16140"/>
    <d v="2014-01-04T00:00:00"/>
    <n v="20578.5"/>
  </r>
  <r>
    <x v="19"/>
    <s v="High"/>
    <n v="2535"/>
    <n v="10"/>
    <n v="7"/>
    <n v="17745"/>
    <s v="$2,661.75"/>
    <n v="15083.25"/>
    <n v="12675"/>
    <d v="2014-01-04T00:00:00"/>
    <n v="15083.25"/>
  </r>
  <r>
    <x v="19"/>
    <s v="High"/>
    <n v="2851"/>
    <n v="10"/>
    <n v="350"/>
    <s v=" $9,97,850.00 "/>
    <s v=" $1,49,677.50 "/>
    <s v=" $8,48,172.50 "/>
    <s v=" $7,41,260.00 "/>
    <d v="2014-01-05T00:00:00"/>
    <n v="848172.5"/>
  </r>
  <r>
    <x v="24"/>
    <s v="High"/>
    <n v="2559"/>
    <n v="10"/>
    <n v="15"/>
    <n v="38385"/>
    <s v="$5,757.75"/>
    <n v="32627.25"/>
    <n v="25590"/>
    <d v="2014-01-08T00:00:00"/>
    <n v="32627.25"/>
  </r>
  <r>
    <x v="22"/>
    <s v="High"/>
    <n v="267"/>
    <n v="10"/>
    <n v="20"/>
    <n v="5340"/>
    <s v="$801.00"/>
    <n v="4539"/>
    <n v="2670"/>
    <d v="2013-01-10T00:00:00"/>
    <n v="4539"/>
  </r>
  <r>
    <x v="80"/>
    <s v="High"/>
    <n v="1085"/>
    <n v="10"/>
    <n v="125"/>
    <s v=" $1,35,625.00 "/>
    <s v="$20,343.75"/>
    <s v=" $1,15,281.25 "/>
    <s v=" $1,30,200.00 "/>
    <d v="2014-01-10T00:00:00"/>
    <n v="115281.25"/>
  </r>
  <r>
    <x v="62"/>
    <s v="High"/>
    <n v="1175"/>
    <n v="10"/>
    <n v="15"/>
    <n v="17625"/>
    <s v="$2,643.75"/>
    <n v="14981.25"/>
    <n v="11750"/>
    <d v="2014-01-10T00:00:00"/>
    <n v="14981.25"/>
  </r>
  <r>
    <x v="22"/>
    <s v="High"/>
    <n v="2007"/>
    <n v="10"/>
    <n v="350"/>
    <s v=" $7,02,450.00 "/>
    <s v=" $1,05,367.50 "/>
    <s v=" $5,97,082.50 "/>
    <s v=" $5,21,820.00 "/>
    <d v="2013-01-11T00:00:00"/>
    <n v="597082.5"/>
  </r>
  <r>
    <x v="19"/>
    <s v="High"/>
    <n v="2151"/>
    <n v="10"/>
    <n v="350"/>
    <s v=" $7,52,850.00 "/>
    <s v=" $1,12,927.50 "/>
    <s v=" $6,39,922.50 "/>
    <s v=" $5,59,260.00 "/>
    <d v="2013-01-11T00:00:00"/>
    <n v="639922.5"/>
  </r>
  <r>
    <x v="23"/>
    <s v="High"/>
    <n v="914"/>
    <n v="10"/>
    <n v="12"/>
    <n v="10968"/>
    <s v="$1,645.20"/>
    <n v="9322.7999999999993"/>
    <n v="2742"/>
    <d v="2014-01-12T00:00:00"/>
    <n v="9322.7999999999993"/>
  </r>
  <r>
    <x v="44"/>
    <s v="High"/>
    <n v="293"/>
    <n v="10"/>
    <n v="20"/>
    <n v="5860"/>
    <s v="$879.00"/>
    <n v="4981"/>
    <n v="2930"/>
    <d v="2014-01-12T00:00:00"/>
    <n v="4981"/>
  </r>
  <r>
    <x v="89"/>
    <s v="High"/>
    <n v="500"/>
    <n v="120"/>
    <n v="12"/>
    <n v="6000"/>
    <s v="$900.00"/>
    <n v="5100"/>
    <n v="1500"/>
    <d v="2014-01-03T00:00:00"/>
    <n v="5100"/>
  </r>
  <r>
    <x v="149"/>
    <s v="High"/>
    <n v="2826"/>
    <n v="120"/>
    <n v="15"/>
    <n v="42390"/>
    <s v="$6,358.50"/>
    <n v="36031.5"/>
    <n v="28260"/>
    <d v="2014-01-05T00:00:00"/>
    <n v="36031.5"/>
  </r>
  <r>
    <x v="26"/>
    <s v="High"/>
    <n v="663"/>
    <n v="120"/>
    <n v="125"/>
    <n v="82875"/>
    <s v="$12,431.25"/>
    <n v="70443.75"/>
    <n v="79560"/>
    <d v="2014-01-09T00:00:00"/>
    <n v="70443.75"/>
  </r>
  <r>
    <x v="130"/>
    <s v="High"/>
    <n v="2574"/>
    <n v="120"/>
    <n v="300"/>
    <s v=" $7,72,200.00 "/>
    <s v=" $1,15,830.00 "/>
    <s v=" $6,56,370.00 "/>
    <s v=" $6,43,500.00 "/>
    <d v="2013-01-11T00:00:00"/>
    <n v="656370"/>
  </r>
  <r>
    <x v="29"/>
    <s v="High"/>
    <n v="2438"/>
    <n v="120"/>
    <n v="125"/>
    <s v=" $3,04,750.00 "/>
    <s v="$45,712.50"/>
    <s v=" $2,59,037.50 "/>
    <s v=" $2,92,560.00 "/>
    <d v="2013-01-12T00:00:00"/>
    <n v="259037.5"/>
  </r>
  <r>
    <x v="105"/>
    <s v="High"/>
    <n v="914"/>
    <n v="120"/>
    <n v="12"/>
    <n v="10968"/>
    <s v="$1,645.20"/>
    <n v="9322.7999999999993"/>
    <n v="2742"/>
    <d v="2014-01-12T00:00:00"/>
    <n v="9322.7999999999993"/>
  </r>
  <r>
    <x v="37"/>
    <s v="High"/>
    <n v="865.5"/>
    <n v="250"/>
    <n v="20"/>
    <n v="17310"/>
    <s v="$2,596.50"/>
    <n v="14713.5"/>
    <n v="8655"/>
    <d v="2014-01-07T00:00:00"/>
    <n v="14713.5"/>
  </r>
  <r>
    <x v="34"/>
    <s v="High"/>
    <n v="492"/>
    <n v="250"/>
    <n v="15"/>
    <n v="7380"/>
    <s v="$1,107.00"/>
    <n v="6273"/>
    <n v="4920"/>
    <d v="2014-01-07T00:00:00"/>
    <n v="6273"/>
  </r>
  <r>
    <x v="92"/>
    <s v="High"/>
    <n v="267"/>
    <n v="250"/>
    <n v="20"/>
    <n v="5340"/>
    <s v="$801.00"/>
    <n v="4539"/>
    <n v="2670"/>
    <d v="2013-01-10T00:00:00"/>
    <n v="4539"/>
  </r>
  <r>
    <x v="34"/>
    <s v="High"/>
    <n v="1175"/>
    <n v="250"/>
    <n v="15"/>
    <n v="17625"/>
    <s v="$2,643.75"/>
    <n v="14981.25"/>
    <n v="11750"/>
    <d v="2014-01-10T00:00:00"/>
    <n v="14981.25"/>
  </r>
  <r>
    <x v="91"/>
    <s v="High"/>
    <n v="2954"/>
    <n v="250"/>
    <n v="125"/>
    <s v=" $3,69,250.00 "/>
    <s v="$55,387.50"/>
    <s v=" $3,13,862.50 "/>
    <s v=" $3,54,480.00 "/>
    <d v="2013-01-11T00:00:00"/>
    <n v="313862.5"/>
  </r>
  <r>
    <x v="102"/>
    <s v="High"/>
    <n v="552"/>
    <n v="250"/>
    <n v="125"/>
    <n v="69000"/>
    <s v="$10,350.00"/>
    <n v="58650"/>
    <n v="66240"/>
    <d v="2014-01-11T00:00:00"/>
    <n v="58650"/>
  </r>
  <r>
    <x v="35"/>
    <s v="High"/>
    <n v="293"/>
    <n v="250"/>
    <n v="20"/>
    <n v="5860"/>
    <s v="$879.00"/>
    <n v="4981"/>
    <n v="2930"/>
    <d v="2014-01-12T00:00:00"/>
    <n v="4981"/>
  </r>
  <r>
    <x v="147"/>
    <s v="High"/>
    <n v="2475"/>
    <n v="260"/>
    <n v="300"/>
    <s v=" $7,42,500.00 "/>
    <s v=" $1,11,375.00 "/>
    <s v=" $6,31,125.00 "/>
    <s v=" $6,18,750.00 "/>
    <d v="2014-01-03T00:00:00"/>
    <n v="631125"/>
  </r>
  <r>
    <x v="94"/>
    <s v="High"/>
    <n v="546"/>
    <n v="260"/>
    <n v="300"/>
    <s v=" $1,63,800.00 "/>
    <s v="$24,570.00"/>
    <s v=" $1,39,230.00 "/>
    <s v=" $1,36,500.00 "/>
    <d v="2014-01-10T00:00:00"/>
    <n v="139230"/>
  </r>
  <r>
    <x v="114"/>
    <s v="High"/>
    <n v="1368"/>
    <n v="5"/>
    <n v="7"/>
    <n v="9576"/>
    <s v="$1,436.40"/>
    <n v="8139.6"/>
    <n v="6840"/>
    <d v="2014-01-02T00:00:00"/>
    <n v="8139.6"/>
  </r>
  <r>
    <x v="14"/>
    <s v="High"/>
    <n v="723"/>
    <n v="10"/>
    <n v="7"/>
    <n v="5061"/>
    <s v="$759.15"/>
    <n v="4301.8500000000004"/>
    <n v="3615"/>
    <d v="2014-01-04T00:00:00"/>
    <n v="4301.8500000000004"/>
  </r>
  <r>
    <x v="141"/>
    <s v="High"/>
    <n v="1806"/>
    <n v="250"/>
    <n v="12"/>
    <n v="21672"/>
    <s v="$3,250.80"/>
    <n v="18421.2"/>
    <n v="5418"/>
    <d v="2014-01-05T00:00:00"/>
    <n v="1842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FB23E0-DB08-4D96-87FE-7983380FE45D}" name="Product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286:B293" firstHeaderRow="1" firstDataRow="1" firstDataCol="1"/>
  <pivotFields count="21">
    <pivotField numFmtId="14" showAll="0">
      <items count="15">
        <item x="0"/>
        <item x="1"/>
        <item x="2"/>
        <item x="3"/>
        <item x="4"/>
        <item x="5"/>
        <item x="6"/>
        <item x="7"/>
        <item x="8"/>
        <item x="9"/>
        <item x="10"/>
        <item x="11"/>
        <item x="12"/>
        <item x="13"/>
        <item t="default"/>
      </items>
    </pivotField>
    <pivotField axis="axisRow" showAll="0" sortType="ascending">
      <items count="7">
        <item x="1"/>
        <item x="2"/>
        <item x="3"/>
        <item x="0"/>
        <item x="4"/>
        <item x="5"/>
        <item t="default"/>
      </items>
      <autoSortScope>
        <pivotArea dataOnly="0" outline="0" fieldPosition="0">
          <references count="1">
            <reference field="4294967294" count="1" selected="0">
              <x v="0"/>
            </reference>
          </references>
        </pivotArea>
      </autoSortScope>
    </pivotField>
    <pivotField showAll="0">
      <items count="6">
        <item x="0"/>
        <item x="1"/>
        <item x="2"/>
        <item x="3"/>
        <item x="4"/>
        <item t="default"/>
      </items>
    </pivotField>
    <pivotField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numFmtId="166" showAll="0"/>
    <pivotField dataField="1"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1"/>
  </rowFields>
  <rowItems count="7">
    <i>
      <x v="1"/>
    </i>
    <i>
      <x v="2"/>
    </i>
    <i>
      <x v="4"/>
    </i>
    <i>
      <x/>
    </i>
    <i>
      <x v="5"/>
    </i>
    <i>
      <x v="3"/>
    </i>
    <i t="grand">
      <x/>
    </i>
  </rowItems>
  <colItems count="1">
    <i/>
  </colItems>
  <dataFields count="1">
    <dataField name="Sum of Profit" fld="13" baseField="0" baseItem="0"/>
  </dataFields>
  <chartFormats count="2">
    <chartFormat chart="18" format="3"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BE4F73-173B-46F7-A69C-951257D71C1A}" name="Discount effect on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112:B117" firstHeaderRow="1" firstDataRow="1" firstDataCol="1"/>
  <pivotFields count="21">
    <pivotField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dataField="1"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11"/>
  </rowFields>
  <rowItems count="5">
    <i>
      <x v="2"/>
    </i>
    <i>
      <x/>
    </i>
    <i>
      <x v="1"/>
    </i>
    <i>
      <x v="3"/>
    </i>
    <i t="grand">
      <x/>
    </i>
  </rowItems>
  <colItems count="1">
    <i/>
  </colItems>
  <dataFields count="1">
    <dataField name="Sum of Sales" fld="12" baseField="11" baseItem="2"/>
  </dataField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11" count="1" selected="0">
            <x v="2"/>
          </reference>
        </references>
      </pivotArea>
    </chartFormat>
    <chartFormat chart="12" format="2">
      <pivotArea type="data" outline="0" fieldPosition="0">
        <references count="2">
          <reference field="4294967294" count="1" selected="0">
            <x v="0"/>
          </reference>
          <reference field="11" count="1" selected="0">
            <x v="0"/>
          </reference>
        </references>
      </pivotArea>
    </chartFormat>
    <chartFormat chart="12" format="3">
      <pivotArea type="data" outline="0" fieldPosition="0">
        <references count="2">
          <reference field="4294967294" count="1" selected="0">
            <x v="0"/>
          </reference>
          <reference field="11" count="1" selected="0">
            <x v="1"/>
          </reference>
        </references>
      </pivotArea>
    </chartFormat>
    <chartFormat chart="12" format="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20C0B2-0576-4B2C-996C-43BBB4D10ACC}"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7">
  <location ref="A946:H966" firstHeaderRow="1" firstDataRow="2" firstDataCol="1"/>
  <pivotFields count="21">
    <pivotField axis="axisRow" numFmtId="14" showAll="0">
      <items count="15">
        <item x="0"/>
        <item x="1"/>
        <item x="2"/>
        <item x="3"/>
        <item x="4"/>
        <item x="5"/>
        <item x="6"/>
        <item x="7"/>
        <item x="8"/>
        <item x="9"/>
        <item x="10"/>
        <item x="11"/>
        <item x="12"/>
        <item x="13"/>
        <item t="default"/>
      </items>
    </pivotField>
    <pivotField axis="axisCol" showAll="0">
      <items count="7">
        <item x="1"/>
        <item x="2"/>
        <item x="3"/>
        <item x="0"/>
        <item x="4"/>
        <item x="5"/>
        <item t="default"/>
      </items>
    </pivotField>
    <pivotField showAll="0">
      <items count="6">
        <item x="0"/>
        <item x="1"/>
        <item x="2"/>
        <item x="3"/>
        <item x="4"/>
        <item t="default"/>
      </items>
    </pivotField>
    <pivotField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dataField="1" showAll="0"/>
    <pivotField numFmtId="166" showAll="0"/>
    <pivotField numFmtId="166" showAll="0"/>
    <pivotField showAll="0"/>
    <pivotField numFmtId="166" showAll="0"/>
    <pivotField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0"/>
    <field x="0"/>
  </rowFields>
  <rowItems count="19">
    <i>
      <x v="1"/>
    </i>
    <i r="1">
      <x v="9"/>
    </i>
    <i r="1">
      <x v="10"/>
    </i>
    <i r="1">
      <x v="11"/>
    </i>
    <i r="1">
      <x v="12"/>
    </i>
    <i>
      <x v="2"/>
    </i>
    <i r="1">
      <x v="1"/>
    </i>
    <i r="1">
      <x v="2"/>
    </i>
    <i r="1">
      <x v="3"/>
    </i>
    <i r="1">
      <x v="4"/>
    </i>
    <i r="1">
      <x v="5"/>
    </i>
    <i r="1">
      <x v="6"/>
    </i>
    <i r="1">
      <x v="7"/>
    </i>
    <i r="1">
      <x v="8"/>
    </i>
    <i r="1">
      <x v="9"/>
    </i>
    <i r="1">
      <x v="10"/>
    </i>
    <i r="1">
      <x v="11"/>
    </i>
    <i r="1">
      <x v="12"/>
    </i>
    <i t="grand">
      <x/>
    </i>
  </rowItems>
  <colFields count="1">
    <field x="1"/>
  </colFields>
  <colItems count="7">
    <i>
      <x/>
    </i>
    <i>
      <x v="1"/>
    </i>
    <i>
      <x v="2"/>
    </i>
    <i>
      <x v="3"/>
    </i>
    <i>
      <x v="4"/>
    </i>
    <i>
      <x v="5"/>
    </i>
    <i t="grand">
      <x/>
    </i>
  </colItems>
  <dataFields count="1">
    <dataField name="Sum of Units Sold" fld="8" baseField="0" baseItem="0"/>
  </dataFields>
  <chartFormats count="6">
    <chartFormat chart="22" format="0" series="1">
      <pivotArea type="data" outline="0" fieldPosition="0">
        <references count="2">
          <reference field="4294967294" count="1" selected="0">
            <x v="0"/>
          </reference>
          <reference field="1" count="1" selected="0">
            <x v="0"/>
          </reference>
        </references>
      </pivotArea>
    </chartFormat>
    <chartFormat chart="22" format="1" series="1">
      <pivotArea type="data" outline="0" fieldPosition="0">
        <references count="2">
          <reference field="4294967294" count="1" selected="0">
            <x v="0"/>
          </reference>
          <reference field="1" count="1" selected="0">
            <x v="1"/>
          </reference>
        </references>
      </pivotArea>
    </chartFormat>
    <chartFormat chart="22" format="2" series="1">
      <pivotArea type="data" outline="0" fieldPosition="0">
        <references count="2">
          <reference field="4294967294" count="1" selected="0">
            <x v="0"/>
          </reference>
          <reference field="1" count="1" selected="0">
            <x v="2"/>
          </reference>
        </references>
      </pivotArea>
    </chartFormat>
    <chartFormat chart="22" format="3" series="1">
      <pivotArea type="data" outline="0" fieldPosition="0">
        <references count="2">
          <reference field="4294967294" count="1" selected="0">
            <x v="0"/>
          </reference>
          <reference field="1" count="1" selected="0">
            <x v="3"/>
          </reference>
        </references>
      </pivotArea>
    </chartFormat>
    <chartFormat chart="22" format="4" series="1">
      <pivotArea type="data" outline="0" fieldPosition="0">
        <references count="2">
          <reference field="4294967294" count="1" selected="0">
            <x v="0"/>
          </reference>
          <reference field="1" count="1" selected="0">
            <x v="4"/>
          </reference>
        </references>
      </pivotArea>
    </chartFormat>
    <chartFormat chart="22" format="5"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B83B4D-DCF7-40DB-BBE0-8ACF6362BD9E}"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5">
  <location ref="A821:C841" firstHeaderRow="1" firstDataRow="2" firstDataCol="1"/>
  <pivotFields count="21">
    <pivotField axis="axisRow"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showAll="0"/>
    <pivotField axis="axisCol" showAll="0" measureFilter="1">
      <items count="6">
        <item x="4"/>
        <item x="3"/>
        <item x="2"/>
        <item x="1"/>
        <item x="0"/>
        <item t="default"/>
      </items>
    </pivotField>
    <pivotField showAll="0"/>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0"/>
    <field x="0"/>
  </rowFields>
  <rowItems count="19">
    <i>
      <x v="1"/>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2">
    <i>
      <x v="3"/>
    </i>
    <i t="grand">
      <x/>
    </i>
  </colItems>
  <dataFields count="1">
    <dataField name="Sum of Sales" fld="12" baseField="0" baseItem="0"/>
  </dataFields>
  <formats count="6">
    <format dxfId="35">
      <pivotArea type="all" dataOnly="0" outline="0" fieldPosition="0"/>
    </format>
    <format dxfId="34">
      <pivotArea outline="0" collapsedLevelsAreSubtotals="1" fieldPosition="0"/>
    </format>
    <format dxfId="33">
      <pivotArea field="20" type="button" dataOnly="0" labelOnly="1" outline="0" axis="axisRow" fieldPosition="0"/>
    </format>
    <format dxfId="32">
      <pivotArea dataOnly="0" labelOnly="1" fieldPosition="0">
        <references count="1">
          <reference field="20" count="2">
            <x v="1"/>
            <x v="2"/>
          </reference>
        </references>
      </pivotArea>
    </format>
    <format dxfId="31">
      <pivotArea dataOnly="0" labelOnly="1" grandRow="1" outline="0" fieldPosition="0"/>
    </format>
    <format dxfId="30">
      <pivotArea dataOnly="0" labelOnly="1" outline="0" fieldPosition="0">
        <references count="1">
          <reference field="4294967294" count="1">
            <x v="0"/>
          </reference>
        </references>
      </pivotArea>
    </format>
  </formats>
  <chartFormats count="1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21" format="0" series="1">
      <pivotArea type="data" outline="0" fieldPosition="0">
        <references count="2">
          <reference field="4294967294" count="1" selected="0">
            <x v="0"/>
          </reference>
          <reference field="3" count="1" selected="0">
            <x v="0"/>
          </reference>
        </references>
      </pivotArea>
    </chartFormat>
    <chartFormat chart="21" format="1" series="1">
      <pivotArea type="data" outline="0" fieldPosition="0">
        <references count="2">
          <reference field="4294967294" count="1" selected="0">
            <x v="0"/>
          </reference>
          <reference field="3" count="1" selected="0">
            <x v="1"/>
          </reference>
        </references>
      </pivotArea>
    </chartFormat>
    <chartFormat chart="21" format="2" series="1">
      <pivotArea type="data" outline="0" fieldPosition="0">
        <references count="2">
          <reference field="4294967294" count="1" selected="0">
            <x v="0"/>
          </reference>
          <reference field="3" count="1" selected="0">
            <x v="2"/>
          </reference>
        </references>
      </pivotArea>
    </chartFormat>
    <chartFormat chart="21" format="3" series="1">
      <pivotArea type="data" outline="0" fieldPosition="0">
        <references count="2">
          <reference field="4294967294" count="1" selected="0">
            <x v="0"/>
          </reference>
          <reference field="3" count="1" selected="0">
            <x v="3"/>
          </reference>
        </references>
      </pivotArea>
    </chartFormat>
    <chartFormat chart="21" format="4" series="1">
      <pivotArea type="data" outline="0" fieldPosition="0">
        <references count="2">
          <reference field="4294967294" count="1" selected="0">
            <x v="0"/>
          </reference>
          <reference field="3" count="1" selected="0">
            <x v="4"/>
          </reference>
        </references>
      </pivotArea>
    </chartFormat>
    <chartFormat chart="24" format="6" series="1">
      <pivotArea type="data" outline="0" fieldPosition="0">
        <references count="2">
          <reference field="4294967294" count="1" selected="0">
            <x v="0"/>
          </reference>
          <reference field="3" count="1" selected="0">
            <x v="4"/>
          </reference>
        </references>
      </pivotArea>
    </chartFormat>
    <chartFormat chart="25" format="0" series="1">
      <pivotArea type="data" outline="0" fieldPosition="0">
        <references count="2">
          <reference field="4294967294" count="1" selected="0">
            <x v="0"/>
          </reference>
          <reference field="3" count="1" selected="0">
            <x v="3"/>
          </reference>
        </references>
      </pivotArea>
    </chartFormat>
    <chartFormat chart="25" format="1" series="1">
      <pivotArea type="data" outline="0" fieldPosition="0">
        <references count="2">
          <reference field="4294967294" count="1" selected="0">
            <x v="0"/>
          </reference>
          <reference field="3" count="1" selected="0">
            <x v="4"/>
          </reference>
        </references>
      </pivotArea>
    </chartFormat>
    <chartFormat chart="25" format="2" series="1">
      <pivotArea type="data" outline="0" fieldPosition="0">
        <references count="2">
          <reference field="4294967294" count="1" selected="0">
            <x v="0"/>
          </reference>
          <reference field="3" count="1" selected="0">
            <x v="2"/>
          </reference>
        </references>
      </pivotArea>
    </chartFormat>
    <chartFormat chart="44" format="18" series="1">
      <pivotArea type="data" outline="0" fieldPosition="0">
        <references count="2">
          <reference field="4294967294" count="1" selected="0">
            <x v="0"/>
          </reference>
          <reference field="3" count="1" selected="0">
            <x v="3"/>
          </reference>
        </references>
      </pivotArea>
    </chartFormat>
    <chartFormat chart="44" format="19" series="1">
      <pivotArea type="data" outline="0" fieldPosition="0">
        <references count="2">
          <reference field="4294967294" count="1" selected="0">
            <x v="0"/>
          </reference>
          <reference field="3" count="1" selected="0">
            <x v="4"/>
          </reference>
        </references>
      </pivotArea>
    </chartFormat>
    <chartFormat chart="44" format="20"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F2EA54-2AD2-4F1A-AA6D-BC6F160EA6B4}" name="DB_UnitSol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1">
  <location ref="A379:B384" firstHeaderRow="1" firstDataRow="1" firstDataCol="1"/>
  <pivotFields count="21">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6" showAll="0"/>
    <pivotField numFmtId="166" showAll="0"/>
    <pivotField numFmtId="166" showAll="0"/>
    <pivotField dataField="1" showAll="0"/>
    <pivotField numFmtId="166" showAll="0"/>
    <pivotField numFmtId="166"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11"/>
  </rowFields>
  <rowItems count="5">
    <i>
      <x/>
    </i>
    <i>
      <x v="2"/>
    </i>
    <i>
      <x v="1"/>
    </i>
    <i>
      <x v="3"/>
    </i>
    <i t="grand">
      <x/>
    </i>
  </rowItems>
  <colItems count="1">
    <i/>
  </colItems>
  <dataFields count="1">
    <dataField name="Sum of Units Sold" fld="8" showDataAs="percentOfTotal" baseField="11" baseItem="0" numFmtId="10"/>
  </dataFields>
  <formats count="2">
    <format dxfId="37">
      <pivotArea dataOnly="0" fieldPosition="0">
        <references count="1">
          <reference field="11" count="0"/>
        </references>
      </pivotArea>
    </format>
    <format dxfId="36">
      <pivotArea outline="0" fieldPosition="0">
        <references count="1">
          <reference field="4294967294" count="1">
            <x v="0"/>
          </reference>
        </references>
      </pivotArea>
    </format>
  </formats>
  <chartFormats count="7">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11" count="1" selected="0">
            <x v="0"/>
          </reference>
        </references>
      </pivotArea>
    </chartFormat>
    <chartFormat chart="27" format="2">
      <pivotArea type="data" outline="0" fieldPosition="0">
        <references count="2">
          <reference field="4294967294" count="1" selected="0">
            <x v="0"/>
          </reference>
          <reference field="11" count="1" selected="0">
            <x v="2"/>
          </reference>
        </references>
      </pivotArea>
    </chartFormat>
    <chartFormat chart="27" format="3">
      <pivotArea type="data" outline="0" fieldPosition="0">
        <references count="2">
          <reference field="4294967294" count="1" selected="0">
            <x v="0"/>
          </reference>
          <reference field="11" count="1" selected="0">
            <x v="1"/>
          </reference>
        </references>
      </pivotArea>
    </chartFormat>
    <chartFormat chart="27" format="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99D6E6-1278-46F3-A9E1-FA42C205379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46:B153" firstHeaderRow="1" firstDataRow="1" firstDataCol="1"/>
  <pivotFields count="21">
    <pivotField numFmtId="14" showAll="0">
      <items count="15">
        <item x="0"/>
        <item x="1"/>
        <item x="2"/>
        <item x="3"/>
        <item x="4"/>
        <item x="5"/>
        <item x="6"/>
        <item x="7"/>
        <item x="8"/>
        <item x="9"/>
        <item x="10"/>
        <item x="11"/>
        <item x="12"/>
        <item x="13"/>
        <item t="default"/>
      </items>
    </pivotField>
    <pivotField axis="axisRow" showAll="0" sortType="ascending">
      <items count="7">
        <item x="1"/>
        <item x="2"/>
        <item x="3"/>
        <item x="0"/>
        <item x="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numFmtId="166" showAll="0"/>
    <pivotField numFmtId="166" showAll="0"/>
    <pivotField showAll="0"/>
    <pivotField numFmtId="166" showAll="0"/>
    <pivotField numFmtId="166" showAll="0"/>
    <pivotField showAll="0"/>
    <pivotField numFmtId="166" showAll="0"/>
    <pivotField dataField="1"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1"/>
  </rowFields>
  <rowItems count="7">
    <i>
      <x v="1"/>
    </i>
    <i>
      <x v="2"/>
    </i>
    <i>
      <x v="4"/>
    </i>
    <i>
      <x/>
    </i>
    <i>
      <x v="5"/>
    </i>
    <i>
      <x v="3"/>
    </i>
    <i t="grand">
      <x/>
    </i>
  </rowItems>
  <colItems count="1">
    <i/>
  </colItems>
  <dataFields count="1">
    <dataField name="Sum of Profit" fld="13" baseField="0" baseItem="0"/>
  </dataFields>
  <chartFormats count="1">
    <chartFormat chart="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0403D2-F900-46C5-87A3-29722E784C9F}" name="Sales by 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16:C22" firstHeaderRow="0" firstDataRow="1" firstDataCol="1"/>
  <pivotFields count="21">
    <pivotField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showAll="0">
      <items count="6">
        <item x="0"/>
        <item x="1"/>
        <item x="2"/>
        <item x="3"/>
        <item x="4"/>
        <item t="default"/>
      </items>
    </pivotField>
    <pivotField axis="axisRow" showAll="0" sortType="descending">
      <items count="6">
        <item x="4"/>
        <item x="3"/>
        <item x="2"/>
        <item x="1"/>
        <item x="0"/>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dataField="1" numFmtId="166" showAll="0"/>
    <pivotField dataField="1"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v="4"/>
    </i>
    <i>
      <x/>
    </i>
    <i>
      <x v="1"/>
    </i>
    <i>
      <x v="2"/>
    </i>
    <i>
      <x v="3"/>
    </i>
    <i t="grand">
      <x/>
    </i>
  </rowItems>
  <colFields count="1">
    <field x="-2"/>
  </colFields>
  <colItems count="2">
    <i>
      <x/>
    </i>
    <i i="1">
      <x v="1"/>
    </i>
  </colItems>
  <dataFields count="2">
    <dataField name="Sum of Sales" fld="12" baseField="0" baseItem="0"/>
    <dataField name="Sum of Profit" fld="13" baseField="0" baseItem="0"/>
  </dataField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8" format="10">
      <pivotArea type="data" outline="0" fieldPosition="0">
        <references count="2">
          <reference field="4294967294" count="1" selected="0">
            <x v="1"/>
          </reference>
          <reference field="3" count="1" selected="0">
            <x v="2"/>
          </reference>
        </references>
      </pivotArea>
    </chartFormat>
    <chartFormat chart="8" format="11">
      <pivotArea type="data" outline="0" fieldPosition="0">
        <references count="2">
          <reference field="4294967294" count="1" selected="0">
            <x v="1"/>
          </reference>
          <reference field="3" count="1" selected="0">
            <x v="1"/>
          </reference>
        </references>
      </pivotArea>
    </chartFormat>
    <chartFormat chart="8" format="12">
      <pivotArea type="data" outline="0" fieldPosition="0">
        <references count="2">
          <reference field="4294967294" count="1" selected="0">
            <x v="1"/>
          </reference>
          <reference field="3" count="1" selected="0">
            <x v="0"/>
          </reference>
        </references>
      </pivotArea>
    </chartFormat>
    <chartFormat chart="8" format="13">
      <pivotArea type="data" outline="0" fieldPosition="0">
        <references count="2">
          <reference field="4294967294" count="1" selected="0">
            <x v="1"/>
          </reference>
          <reference field="3" count="1" selected="0">
            <x v="4"/>
          </reference>
        </references>
      </pivotArea>
    </chartFormat>
    <chartFormat chart="8" format="14">
      <pivotArea type="data" outline="0" fieldPosition="0">
        <references count="2">
          <reference field="4294967294" count="1" selected="0">
            <x v="1"/>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5F1800-7BA3-4BA4-BCBC-7B076777190B}" name="Maxico_Seg_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A742:AF763" firstHeaderRow="1" firstDataRow="3" firstDataCol="1"/>
  <pivotFields count="21">
    <pivotField axis="axisRow"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axis="axisCol" showAll="0">
      <items count="6">
        <item x="0"/>
        <item x="1"/>
        <item x="2"/>
        <item x="3"/>
        <item x="4"/>
        <item t="default"/>
      </items>
    </pivotField>
    <pivotField axis="axisCol" showAll="0">
      <items count="6">
        <item x="4"/>
        <item x="3"/>
        <item x="2"/>
        <item x="1"/>
        <item x="0"/>
        <item t="default"/>
      </items>
    </pivotField>
    <pivotField showAll="0"/>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0"/>
    <field x="0"/>
  </rowFields>
  <rowItems count="19">
    <i>
      <x v="1"/>
    </i>
    <i r="1">
      <x v="9"/>
    </i>
    <i r="1">
      <x v="10"/>
    </i>
    <i r="1">
      <x v="11"/>
    </i>
    <i r="1">
      <x v="12"/>
    </i>
    <i>
      <x v="2"/>
    </i>
    <i r="1">
      <x v="1"/>
    </i>
    <i r="1">
      <x v="2"/>
    </i>
    <i r="1">
      <x v="3"/>
    </i>
    <i r="1">
      <x v="4"/>
    </i>
    <i r="1">
      <x v="5"/>
    </i>
    <i r="1">
      <x v="6"/>
    </i>
    <i r="1">
      <x v="7"/>
    </i>
    <i r="1">
      <x v="8"/>
    </i>
    <i r="1">
      <x v="9"/>
    </i>
    <i r="1">
      <x v="10"/>
    </i>
    <i r="1">
      <x v="11"/>
    </i>
    <i r="1">
      <x v="12"/>
    </i>
    <i t="grand">
      <x/>
    </i>
  </rowItems>
  <colFields count="2">
    <field x="3"/>
    <field x="2"/>
  </colFields>
  <colItems count="31">
    <i>
      <x/>
      <x/>
    </i>
    <i r="1">
      <x v="1"/>
    </i>
    <i r="1">
      <x v="2"/>
    </i>
    <i r="1">
      <x v="3"/>
    </i>
    <i r="1">
      <x v="4"/>
    </i>
    <i t="default">
      <x/>
    </i>
    <i>
      <x v="1"/>
      <x/>
    </i>
    <i r="1">
      <x v="1"/>
    </i>
    <i r="1">
      <x v="2"/>
    </i>
    <i r="1">
      <x v="3"/>
    </i>
    <i r="1">
      <x v="4"/>
    </i>
    <i t="default">
      <x v="1"/>
    </i>
    <i>
      <x v="2"/>
      <x/>
    </i>
    <i r="1">
      <x v="1"/>
    </i>
    <i r="1">
      <x v="2"/>
    </i>
    <i r="1">
      <x v="3"/>
    </i>
    <i r="1">
      <x v="4"/>
    </i>
    <i t="default">
      <x v="2"/>
    </i>
    <i>
      <x v="3"/>
      <x/>
    </i>
    <i r="1">
      <x v="1"/>
    </i>
    <i r="1">
      <x v="2"/>
    </i>
    <i r="1">
      <x v="3"/>
    </i>
    <i r="1">
      <x v="4"/>
    </i>
    <i t="default">
      <x v="3"/>
    </i>
    <i>
      <x v="4"/>
      <x/>
    </i>
    <i r="1">
      <x v="1"/>
    </i>
    <i r="1">
      <x v="2"/>
    </i>
    <i r="1">
      <x v="3"/>
    </i>
    <i r="1">
      <x v="4"/>
    </i>
    <i t="default">
      <x v="4"/>
    </i>
    <i t="grand">
      <x/>
    </i>
  </colItems>
  <dataFields count="1">
    <dataField name="Sum of Sales" fld="12" baseField="0" baseItem="0"/>
  </dataFields>
  <formats count="6">
    <format dxfId="43">
      <pivotArea type="all" dataOnly="0" outline="0" fieldPosition="0"/>
    </format>
    <format dxfId="42">
      <pivotArea outline="0" collapsedLevelsAreSubtotals="1" fieldPosition="0"/>
    </format>
    <format dxfId="41">
      <pivotArea field="20" type="button" dataOnly="0" labelOnly="1" outline="0" axis="axisRow" fieldPosition="0"/>
    </format>
    <format dxfId="40">
      <pivotArea dataOnly="0" labelOnly="1" fieldPosition="0">
        <references count="1">
          <reference field="20" count="2">
            <x v="1"/>
            <x v="2"/>
          </reference>
        </references>
      </pivotArea>
    </format>
    <format dxfId="39">
      <pivotArea dataOnly="0" labelOnly="1" grandRow="1" outline="0" fieldPosition="0"/>
    </format>
    <format dxfId="38">
      <pivotArea dataOnly="0" labelOnly="1" outline="0" fieldPosition="0">
        <references count="1">
          <reference field="4294967294" count="1">
            <x v="0"/>
          </reference>
        </references>
      </pivotArea>
    </format>
  </formats>
  <chartFormats count="9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3">
          <reference field="4294967294" count="1" selected="0">
            <x v="0"/>
          </reference>
          <reference field="2" count="1" selected="0">
            <x v="0"/>
          </reference>
          <reference field="3" count="1" selected="0">
            <x v="0"/>
          </reference>
        </references>
      </pivotArea>
    </chartFormat>
    <chartFormat chart="12" format="1" series="1">
      <pivotArea type="data" outline="0" fieldPosition="0">
        <references count="3">
          <reference field="4294967294" count="1" selected="0">
            <x v="0"/>
          </reference>
          <reference field="2" count="1" selected="0">
            <x v="1"/>
          </reference>
          <reference field="3" count="1" selected="0">
            <x v="0"/>
          </reference>
        </references>
      </pivotArea>
    </chartFormat>
    <chartFormat chart="12" format="2" series="1">
      <pivotArea type="data" outline="0" fieldPosition="0">
        <references count="3">
          <reference field="4294967294" count="1" selected="0">
            <x v="0"/>
          </reference>
          <reference field="2" count="1" selected="0">
            <x v="2"/>
          </reference>
          <reference field="3" count="1" selected="0">
            <x v="0"/>
          </reference>
        </references>
      </pivotArea>
    </chartFormat>
    <chartFormat chart="12" format="3" series="1">
      <pivotArea type="data" outline="0" fieldPosition="0">
        <references count="3">
          <reference field="4294967294" count="1" selected="0">
            <x v="0"/>
          </reference>
          <reference field="2" count="1" selected="0">
            <x v="3"/>
          </reference>
          <reference field="3" count="1" selected="0">
            <x v="0"/>
          </reference>
        </references>
      </pivotArea>
    </chartFormat>
    <chartFormat chart="12" format="4" series="1">
      <pivotArea type="data" outline="0" fieldPosition="0">
        <references count="3">
          <reference field="4294967294" count="1" selected="0">
            <x v="0"/>
          </reference>
          <reference field="2" count="1" selected="0">
            <x v="4"/>
          </reference>
          <reference field="3" count="1" selected="0">
            <x v="0"/>
          </reference>
        </references>
      </pivotArea>
    </chartFormat>
    <chartFormat chart="12" format="5" series="1">
      <pivotArea type="data" outline="0" fieldPosition="0">
        <references count="3">
          <reference field="4294967294" count="1" selected="0">
            <x v="0"/>
          </reference>
          <reference field="2" count="1" selected="0">
            <x v="0"/>
          </reference>
          <reference field="3" count="1" selected="0">
            <x v="1"/>
          </reference>
        </references>
      </pivotArea>
    </chartFormat>
    <chartFormat chart="12" format="6" series="1">
      <pivotArea type="data" outline="0" fieldPosition="0">
        <references count="3">
          <reference field="4294967294" count="1" selected="0">
            <x v="0"/>
          </reference>
          <reference field="2" count="1" selected="0">
            <x v="1"/>
          </reference>
          <reference field="3" count="1" selected="0">
            <x v="1"/>
          </reference>
        </references>
      </pivotArea>
    </chartFormat>
    <chartFormat chart="12" format="7" series="1">
      <pivotArea type="data" outline="0" fieldPosition="0">
        <references count="3">
          <reference field="4294967294" count="1" selected="0">
            <x v="0"/>
          </reference>
          <reference field="2" count="1" selected="0">
            <x v="2"/>
          </reference>
          <reference field="3" count="1" selected="0">
            <x v="1"/>
          </reference>
        </references>
      </pivotArea>
    </chartFormat>
    <chartFormat chart="12" format="8" series="1">
      <pivotArea type="data" outline="0" fieldPosition="0">
        <references count="3">
          <reference field="4294967294" count="1" selected="0">
            <x v="0"/>
          </reference>
          <reference field="2" count="1" selected="0">
            <x v="3"/>
          </reference>
          <reference field="3" count="1" selected="0">
            <x v="1"/>
          </reference>
        </references>
      </pivotArea>
    </chartFormat>
    <chartFormat chart="12" format="9" series="1">
      <pivotArea type="data" outline="0" fieldPosition="0">
        <references count="3">
          <reference field="4294967294" count="1" selected="0">
            <x v="0"/>
          </reference>
          <reference field="2" count="1" selected="0">
            <x v="4"/>
          </reference>
          <reference field="3" count="1" selected="0">
            <x v="1"/>
          </reference>
        </references>
      </pivotArea>
    </chartFormat>
    <chartFormat chart="12" format="10" series="1">
      <pivotArea type="data" outline="0" fieldPosition="0">
        <references count="3">
          <reference field="4294967294" count="1" selected="0">
            <x v="0"/>
          </reference>
          <reference field="2" count="1" selected="0">
            <x v="0"/>
          </reference>
          <reference field="3" count="1" selected="0">
            <x v="2"/>
          </reference>
        </references>
      </pivotArea>
    </chartFormat>
    <chartFormat chart="12" format="11" series="1">
      <pivotArea type="data" outline="0" fieldPosition="0">
        <references count="3">
          <reference field="4294967294" count="1" selected="0">
            <x v="0"/>
          </reference>
          <reference field="2" count="1" selected="0">
            <x v="1"/>
          </reference>
          <reference field="3" count="1" selected="0">
            <x v="2"/>
          </reference>
        </references>
      </pivotArea>
    </chartFormat>
    <chartFormat chart="12" format="12" series="1">
      <pivotArea type="data" outline="0" fieldPosition="0">
        <references count="3">
          <reference field="4294967294" count="1" selected="0">
            <x v="0"/>
          </reference>
          <reference field="2" count="1" selected="0">
            <x v="2"/>
          </reference>
          <reference field="3" count="1" selected="0">
            <x v="2"/>
          </reference>
        </references>
      </pivotArea>
    </chartFormat>
    <chartFormat chart="12" format="13" series="1">
      <pivotArea type="data" outline="0" fieldPosition="0">
        <references count="3">
          <reference field="4294967294" count="1" selected="0">
            <x v="0"/>
          </reference>
          <reference field="2" count="1" selected="0">
            <x v="3"/>
          </reference>
          <reference field="3" count="1" selected="0">
            <x v="2"/>
          </reference>
        </references>
      </pivotArea>
    </chartFormat>
    <chartFormat chart="12" format="14" series="1">
      <pivotArea type="data" outline="0" fieldPosition="0">
        <references count="3">
          <reference field="4294967294" count="1" selected="0">
            <x v="0"/>
          </reference>
          <reference field="2" count="1" selected="0">
            <x v="4"/>
          </reference>
          <reference field="3" count="1" selected="0">
            <x v="2"/>
          </reference>
        </references>
      </pivotArea>
    </chartFormat>
    <chartFormat chart="12" format="15" series="1">
      <pivotArea type="data" outline="0" fieldPosition="0">
        <references count="3">
          <reference field="4294967294" count="1" selected="0">
            <x v="0"/>
          </reference>
          <reference field="2" count="1" selected="0">
            <x v="0"/>
          </reference>
          <reference field="3" count="1" selected="0">
            <x v="3"/>
          </reference>
        </references>
      </pivotArea>
    </chartFormat>
    <chartFormat chart="12" format="16" series="1">
      <pivotArea type="data" outline="0" fieldPosition="0">
        <references count="3">
          <reference field="4294967294" count="1" selected="0">
            <x v="0"/>
          </reference>
          <reference field="2" count="1" selected="0">
            <x v="1"/>
          </reference>
          <reference field="3" count="1" selected="0">
            <x v="3"/>
          </reference>
        </references>
      </pivotArea>
    </chartFormat>
    <chartFormat chart="12" format="17" series="1">
      <pivotArea type="data" outline="0" fieldPosition="0">
        <references count="3">
          <reference field="4294967294" count="1" selected="0">
            <x v="0"/>
          </reference>
          <reference field="2" count="1" selected="0">
            <x v="2"/>
          </reference>
          <reference field="3" count="1" selected="0">
            <x v="3"/>
          </reference>
        </references>
      </pivotArea>
    </chartFormat>
    <chartFormat chart="12" format="18" series="1">
      <pivotArea type="data" outline="0" fieldPosition="0">
        <references count="3">
          <reference field="4294967294" count="1" selected="0">
            <x v="0"/>
          </reference>
          <reference field="2" count="1" selected="0">
            <x v="3"/>
          </reference>
          <reference field="3" count="1" selected="0">
            <x v="3"/>
          </reference>
        </references>
      </pivotArea>
    </chartFormat>
    <chartFormat chart="12" format="19" series="1">
      <pivotArea type="data" outline="0" fieldPosition="0">
        <references count="3">
          <reference field="4294967294" count="1" selected="0">
            <x v="0"/>
          </reference>
          <reference field="2" count="1" selected="0">
            <x v="4"/>
          </reference>
          <reference field="3" count="1" selected="0">
            <x v="3"/>
          </reference>
        </references>
      </pivotArea>
    </chartFormat>
    <chartFormat chart="12" format="20" series="1">
      <pivotArea type="data" outline="0" fieldPosition="0">
        <references count="3">
          <reference field="4294967294" count="1" selected="0">
            <x v="0"/>
          </reference>
          <reference field="2" count="1" selected="0">
            <x v="0"/>
          </reference>
          <reference field="3" count="1" selected="0">
            <x v="4"/>
          </reference>
        </references>
      </pivotArea>
    </chartFormat>
    <chartFormat chart="12" format="21" series="1">
      <pivotArea type="data" outline="0" fieldPosition="0">
        <references count="3">
          <reference field="4294967294" count="1" selected="0">
            <x v="0"/>
          </reference>
          <reference field="2" count="1" selected="0">
            <x v="1"/>
          </reference>
          <reference field="3" count="1" selected="0">
            <x v="4"/>
          </reference>
        </references>
      </pivotArea>
    </chartFormat>
    <chartFormat chart="12" format="22" series="1">
      <pivotArea type="data" outline="0" fieldPosition="0">
        <references count="3">
          <reference field="4294967294" count="1" selected="0">
            <x v="0"/>
          </reference>
          <reference field="2" count="1" selected="0">
            <x v="2"/>
          </reference>
          <reference field="3" count="1" selected="0">
            <x v="4"/>
          </reference>
        </references>
      </pivotArea>
    </chartFormat>
    <chartFormat chart="12" format="23" series="1">
      <pivotArea type="data" outline="0" fieldPosition="0">
        <references count="3">
          <reference field="4294967294" count="1" selected="0">
            <x v="0"/>
          </reference>
          <reference field="2" count="1" selected="0">
            <x v="3"/>
          </reference>
          <reference field="3" count="1" selected="0">
            <x v="4"/>
          </reference>
        </references>
      </pivotArea>
    </chartFormat>
    <chartFormat chart="12" format="24" series="1">
      <pivotArea type="data" outline="0" fieldPosition="0">
        <references count="3">
          <reference field="4294967294" count="1" selected="0">
            <x v="0"/>
          </reference>
          <reference field="2" count="1" selected="0">
            <x v="4"/>
          </reference>
          <reference field="3" count="1" selected="0">
            <x v="4"/>
          </reference>
        </references>
      </pivotArea>
    </chartFormat>
    <chartFormat chart="14" format="26" series="1">
      <pivotArea type="data" outline="0" fieldPosition="0">
        <references count="3">
          <reference field="4294967294" count="1" selected="0">
            <x v="0"/>
          </reference>
          <reference field="2" count="1" selected="0">
            <x v="0"/>
          </reference>
          <reference field="3" count="1" selected="0">
            <x v="4"/>
          </reference>
        </references>
      </pivotArea>
    </chartFormat>
    <chartFormat chart="14" format="27" series="1">
      <pivotArea type="data" outline="0" fieldPosition="0">
        <references count="3">
          <reference field="4294967294" count="1" selected="0">
            <x v="0"/>
          </reference>
          <reference field="2" count="1" selected="0">
            <x v="0"/>
          </reference>
          <reference field="3" count="1" selected="0">
            <x v="1"/>
          </reference>
        </references>
      </pivotArea>
    </chartFormat>
    <chartFormat chart="14" format="28" series="1">
      <pivotArea type="data" outline="0" fieldPosition="0">
        <references count="3">
          <reference field="4294967294" count="1" selected="0">
            <x v="0"/>
          </reference>
          <reference field="2" count="1" selected="0">
            <x v="0"/>
          </reference>
          <reference field="3" count="1" selected="0">
            <x v="2"/>
          </reference>
        </references>
      </pivotArea>
    </chartFormat>
    <chartFormat chart="14" format="29" series="1">
      <pivotArea type="data" outline="0" fieldPosition="0">
        <references count="3">
          <reference field="4294967294" count="1" selected="0">
            <x v="0"/>
          </reference>
          <reference field="2" count="1" selected="0">
            <x v="0"/>
          </reference>
          <reference field="3" count="1" selected="0">
            <x v="3"/>
          </reference>
        </references>
      </pivotArea>
    </chartFormat>
    <chartFormat chart="14" format="30" series="1">
      <pivotArea type="data" outline="0" fieldPosition="0">
        <references count="3">
          <reference field="4294967294" count="1" selected="0">
            <x v="0"/>
          </reference>
          <reference field="2" count="1" selected="0">
            <x v="0"/>
          </reference>
          <reference field="3" count="1" selected="0">
            <x v="0"/>
          </reference>
        </references>
      </pivotArea>
    </chartFormat>
    <chartFormat chart="14" format="31" series="1">
      <pivotArea type="data" outline="0" fieldPosition="0">
        <references count="3">
          <reference field="4294967294" count="1" selected="0">
            <x v="0"/>
          </reference>
          <reference field="2" count="1" selected="0">
            <x v="1"/>
          </reference>
          <reference field="3" count="1" selected="0">
            <x v="4"/>
          </reference>
        </references>
      </pivotArea>
    </chartFormat>
    <chartFormat chart="14" format="32" series="1">
      <pivotArea type="data" outline="0" fieldPosition="0">
        <references count="3">
          <reference field="4294967294" count="1" selected="0">
            <x v="0"/>
          </reference>
          <reference field="2" count="1" selected="0">
            <x v="2"/>
          </reference>
          <reference field="3" count="1" selected="0">
            <x v="4"/>
          </reference>
        </references>
      </pivotArea>
    </chartFormat>
    <chartFormat chart="14" format="33" series="1">
      <pivotArea type="data" outline="0" fieldPosition="0">
        <references count="3">
          <reference field="4294967294" count="1" selected="0">
            <x v="0"/>
          </reference>
          <reference field="2" count="1" selected="0">
            <x v="3"/>
          </reference>
          <reference field="3" count="1" selected="0">
            <x v="4"/>
          </reference>
        </references>
      </pivotArea>
    </chartFormat>
    <chartFormat chart="14" format="34" series="1">
      <pivotArea type="data" outline="0" fieldPosition="0">
        <references count="3">
          <reference field="4294967294" count="1" selected="0">
            <x v="0"/>
          </reference>
          <reference field="2" count="1" selected="0">
            <x v="4"/>
          </reference>
          <reference field="3" count="1" selected="0">
            <x v="4"/>
          </reference>
        </references>
      </pivotArea>
    </chartFormat>
    <chartFormat chart="15" format="0" series="1">
      <pivotArea type="data" outline="0" fieldPosition="0">
        <references count="3">
          <reference field="4294967294" count="1" selected="0">
            <x v="0"/>
          </reference>
          <reference field="2" count="1" selected="0">
            <x v="0"/>
          </reference>
          <reference field="3" count="1" selected="0">
            <x v="4"/>
          </reference>
        </references>
      </pivotArea>
    </chartFormat>
    <chartFormat chart="15" format="1" series="1">
      <pivotArea type="data" outline="0" fieldPosition="0">
        <references count="3">
          <reference field="4294967294" count="1" selected="0">
            <x v="0"/>
          </reference>
          <reference field="2" count="1" selected="0">
            <x v="1"/>
          </reference>
          <reference field="3" count="1" selected="0">
            <x v="4"/>
          </reference>
        </references>
      </pivotArea>
    </chartFormat>
    <chartFormat chart="15" format="2" series="1">
      <pivotArea type="data" outline="0" fieldPosition="0">
        <references count="3">
          <reference field="4294967294" count="1" selected="0">
            <x v="0"/>
          </reference>
          <reference field="2" count="1" selected="0">
            <x v="2"/>
          </reference>
          <reference field="3" count="1" selected="0">
            <x v="4"/>
          </reference>
        </references>
      </pivotArea>
    </chartFormat>
    <chartFormat chart="15" format="3" series="1">
      <pivotArea type="data" outline="0" fieldPosition="0">
        <references count="3">
          <reference field="4294967294" count="1" selected="0">
            <x v="0"/>
          </reference>
          <reference field="2" count="1" selected="0">
            <x v="3"/>
          </reference>
          <reference field="3" count="1" selected="0">
            <x v="4"/>
          </reference>
        </references>
      </pivotArea>
    </chartFormat>
    <chartFormat chart="15" format="4" series="1">
      <pivotArea type="data" outline="0" fieldPosition="0">
        <references count="3">
          <reference field="4294967294" count="1" selected="0">
            <x v="0"/>
          </reference>
          <reference field="2" count="1" selected="0">
            <x v="4"/>
          </reference>
          <reference field="3" count="1" selected="0">
            <x v="4"/>
          </reference>
        </references>
      </pivotArea>
    </chartFormat>
    <chartFormat chart="15" format="5" series="1">
      <pivotArea type="data" outline="0" fieldPosition="0">
        <references count="3">
          <reference field="4294967294" count="1" selected="0">
            <x v="0"/>
          </reference>
          <reference field="2" count="1" selected="0">
            <x v="0"/>
          </reference>
          <reference field="3" count="1" selected="0">
            <x v="0"/>
          </reference>
        </references>
      </pivotArea>
    </chartFormat>
    <chartFormat chart="15" format="6" series="1">
      <pivotArea type="data" outline="0" fieldPosition="0">
        <references count="3">
          <reference field="4294967294" count="1" selected="0">
            <x v="0"/>
          </reference>
          <reference field="2" count="1" selected="0">
            <x v="1"/>
          </reference>
          <reference field="3" count="1" selected="0">
            <x v="0"/>
          </reference>
        </references>
      </pivotArea>
    </chartFormat>
    <chartFormat chart="15" format="7" series="1">
      <pivotArea type="data" outline="0" fieldPosition="0">
        <references count="3">
          <reference field="4294967294" count="1" selected="0">
            <x v="0"/>
          </reference>
          <reference field="2" count="1" selected="0">
            <x v="2"/>
          </reference>
          <reference field="3" count="1" selected="0">
            <x v="0"/>
          </reference>
        </references>
      </pivotArea>
    </chartFormat>
    <chartFormat chart="15" format="8" series="1">
      <pivotArea type="data" outline="0" fieldPosition="0">
        <references count="3">
          <reference field="4294967294" count="1" selected="0">
            <x v="0"/>
          </reference>
          <reference field="2" count="1" selected="0">
            <x v="3"/>
          </reference>
          <reference field="3" count="1" selected="0">
            <x v="0"/>
          </reference>
        </references>
      </pivotArea>
    </chartFormat>
    <chartFormat chart="15" format="9" series="1">
      <pivotArea type="data" outline="0" fieldPosition="0">
        <references count="3">
          <reference field="4294967294" count="1" selected="0">
            <x v="0"/>
          </reference>
          <reference field="2" count="1" selected="0">
            <x v="4"/>
          </reference>
          <reference field="3" count="1" selected="0">
            <x v="0"/>
          </reference>
        </references>
      </pivotArea>
    </chartFormat>
    <chartFormat chart="16" format="0" series="1">
      <pivotArea type="data" outline="0" fieldPosition="0">
        <references count="3">
          <reference field="4294967294" count="1" selected="0">
            <x v="0"/>
          </reference>
          <reference field="2" count="1" selected="0">
            <x v="0"/>
          </reference>
          <reference field="3" count="1" selected="0">
            <x v="0"/>
          </reference>
        </references>
      </pivotArea>
    </chartFormat>
    <chartFormat chart="16" format="1" series="1">
      <pivotArea type="data" outline="0" fieldPosition="0">
        <references count="3">
          <reference field="4294967294" count="1" selected="0">
            <x v="0"/>
          </reference>
          <reference field="2" count="1" selected="0">
            <x v="1"/>
          </reference>
          <reference field="3" count="1" selected="0">
            <x v="0"/>
          </reference>
        </references>
      </pivotArea>
    </chartFormat>
    <chartFormat chart="16" format="2" series="1">
      <pivotArea type="data" outline="0" fieldPosition="0">
        <references count="3">
          <reference field="4294967294" count="1" selected="0">
            <x v="0"/>
          </reference>
          <reference field="2" count="1" selected="0">
            <x v="2"/>
          </reference>
          <reference field="3" count="1" selected="0">
            <x v="0"/>
          </reference>
        </references>
      </pivotArea>
    </chartFormat>
    <chartFormat chart="16" format="3" series="1">
      <pivotArea type="data" outline="0" fieldPosition="0">
        <references count="3">
          <reference field="4294967294" count="1" selected="0">
            <x v="0"/>
          </reference>
          <reference field="2" count="1" selected="0">
            <x v="3"/>
          </reference>
          <reference field="3" count="1" selected="0">
            <x v="0"/>
          </reference>
        </references>
      </pivotArea>
    </chartFormat>
    <chartFormat chart="16" format="4" series="1">
      <pivotArea type="data" outline="0" fieldPosition="0">
        <references count="3">
          <reference field="4294967294" count="1" selected="0">
            <x v="0"/>
          </reference>
          <reference field="2" count="1" selected="0">
            <x v="4"/>
          </reference>
          <reference field="3" count="1" selected="0">
            <x v="0"/>
          </reference>
        </references>
      </pivotArea>
    </chartFormat>
    <chartFormat chart="16" format="5" series="1">
      <pivotArea type="data" outline="0" fieldPosition="0">
        <references count="3">
          <reference field="4294967294" count="1" selected="0">
            <x v="0"/>
          </reference>
          <reference field="2" count="1" selected="0">
            <x v="0"/>
          </reference>
          <reference field="3" count="1" selected="0">
            <x v="3"/>
          </reference>
        </references>
      </pivotArea>
    </chartFormat>
    <chartFormat chart="16" format="6" series="1">
      <pivotArea type="data" outline="0" fieldPosition="0">
        <references count="3">
          <reference field="4294967294" count="1" selected="0">
            <x v="0"/>
          </reference>
          <reference field="2" count="1" selected="0">
            <x v="1"/>
          </reference>
          <reference field="3" count="1" selected="0">
            <x v="3"/>
          </reference>
        </references>
      </pivotArea>
    </chartFormat>
    <chartFormat chart="16" format="7" series="1">
      <pivotArea type="data" outline="0" fieldPosition="0">
        <references count="3">
          <reference field="4294967294" count="1" selected="0">
            <x v="0"/>
          </reference>
          <reference field="2" count="1" selected="0">
            <x v="2"/>
          </reference>
          <reference field="3" count="1" selected="0">
            <x v="3"/>
          </reference>
        </references>
      </pivotArea>
    </chartFormat>
    <chartFormat chart="16" format="8" series="1">
      <pivotArea type="data" outline="0" fieldPosition="0">
        <references count="3">
          <reference field="4294967294" count="1" selected="0">
            <x v="0"/>
          </reference>
          <reference field="2" count="1" selected="0">
            <x v="3"/>
          </reference>
          <reference field="3" count="1" selected="0">
            <x v="3"/>
          </reference>
        </references>
      </pivotArea>
    </chartFormat>
    <chartFormat chart="16" format="9" series="1">
      <pivotArea type="data" outline="0" fieldPosition="0">
        <references count="3">
          <reference field="4294967294" count="1" selected="0">
            <x v="0"/>
          </reference>
          <reference field="2" count="1" selected="0">
            <x v="4"/>
          </reference>
          <reference field="3" count="1" selected="0">
            <x v="3"/>
          </reference>
        </references>
      </pivotArea>
    </chartFormat>
    <chartFormat chart="17" format="0" series="1">
      <pivotArea type="data" outline="0" fieldPosition="0">
        <references count="3">
          <reference field="4294967294" count="1" selected="0">
            <x v="0"/>
          </reference>
          <reference field="2" count="1" selected="0">
            <x v="0"/>
          </reference>
          <reference field="3" count="1" selected="0">
            <x v="3"/>
          </reference>
        </references>
      </pivotArea>
    </chartFormat>
    <chartFormat chart="17" format="1" series="1">
      <pivotArea type="data" outline="0" fieldPosition="0">
        <references count="3">
          <reference field="4294967294" count="1" selected="0">
            <x v="0"/>
          </reference>
          <reference field="2" count="1" selected="0">
            <x v="1"/>
          </reference>
          <reference field="3" count="1" selected="0">
            <x v="3"/>
          </reference>
        </references>
      </pivotArea>
    </chartFormat>
    <chartFormat chart="17" format="2" series="1">
      <pivotArea type="data" outline="0" fieldPosition="0">
        <references count="3">
          <reference field="4294967294" count="1" selected="0">
            <x v="0"/>
          </reference>
          <reference field="2" count="1" selected="0">
            <x v="2"/>
          </reference>
          <reference field="3" count="1" selected="0">
            <x v="3"/>
          </reference>
        </references>
      </pivotArea>
    </chartFormat>
    <chartFormat chart="17" format="3" series="1">
      <pivotArea type="data" outline="0" fieldPosition="0">
        <references count="3">
          <reference field="4294967294" count="1" selected="0">
            <x v="0"/>
          </reference>
          <reference field="2" count="1" selected="0">
            <x v="3"/>
          </reference>
          <reference field="3" count="1" selected="0">
            <x v="3"/>
          </reference>
        </references>
      </pivotArea>
    </chartFormat>
    <chartFormat chart="17" format="4" series="1">
      <pivotArea type="data" outline="0" fieldPosition="0">
        <references count="3">
          <reference field="4294967294" count="1" selected="0">
            <x v="0"/>
          </reference>
          <reference field="2" count="1" selected="0">
            <x v="4"/>
          </reference>
          <reference field="3" count="1" selected="0">
            <x v="3"/>
          </reference>
        </references>
      </pivotArea>
    </chartFormat>
    <chartFormat chart="17" format="5" series="1">
      <pivotArea type="data" outline="0" fieldPosition="0">
        <references count="3">
          <reference field="4294967294" count="1" selected="0">
            <x v="0"/>
          </reference>
          <reference field="2" count="1" selected="0">
            <x v="0"/>
          </reference>
          <reference field="3" count="1" selected="0">
            <x v="2"/>
          </reference>
        </references>
      </pivotArea>
    </chartFormat>
    <chartFormat chart="17" format="6" series="1">
      <pivotArea type="data" outline="0" fieldPosition="0">
        <references count="3">
          <reference field="4294967294" count="1" selected="0">
            <x v="0"/>
          </reference>
          <reference field="2" count="1" selected="0">
            <x v="1"/>
          </reference>
          <reference field="3" count="1" selected="0">
            <x v="2"/>
          </reference>
        </references>
      </pivotArea>
    </chartFormat>
    <chartFormat chart="17" format="7" series="1">
      <pivotArea type="data" outline="0" fieldPosition="0">
        <references count="3">
          <reference field="4294967294" count="1" selected="0">
            <x v="0"/>
          </reference>
          <reference field="2" count="1" selected="0">
            <x v="2"/>
          </reference>
          <reference field="3" count="1" selected="0">
            <x v="2"/>
          </reference>
        </references>
      </pivotArea>
    </chartFormat>
    <chartFormat chart="17" format="8" series="1">
      <pivotArea type="data" outline="0" fieldPosition="0">
        <references count="3">
          <reference field="4294967294" count="1" selected="0">
            <x v="0"/>
          </reference>
          <reference field="2" count="1" selected="0">
            <x v="3"/>
          </reference>
          <reference field="3" count="1" selected="0">
            <x v="2"/>
          </reference>
        </references>
      </pivotArea>
    </chartFormat>
    <chartFormat chart="17" format="9" series="1">
      <pivotArea type="data" outline="0" fieldPosition="0">
        <references count="3">
          <reference field="4294967294" count="1" selected="0">
            <x v="0"/>
          </reference>
          <reference field="2" count="1" selected="0">
            <x v="4"/>
          </reference>
          <reference field="3" count="1" selected="0">
            <x v="2"/>
          </reference>
        </references>
      </pivotArea>
    </chartFormat>
    <chartFormat chart="18" format="0" series="1">
      <pivotArea type="data" outline="0" fieldPosition="0">
        <references count="3">
          <reference field="4294967294" count="1" selected="0">
            <x v="0"/>
          </reference>
          <reference field="2" count="1" selected="0">
            <x v="0"/>
          </reference>
          <reference field="3" count="1" selected="0">
            <x v="2"/>
          </reference>
        </references>
      </pivotArea>
    </chartFormat>
    <chartFormat chart="18" format="1" series="1">
      <pivotArea type="data" outline="0" fieldPosition="0">
        <references count="3">
          <reference field="4294967294" count="1" selected="0">
            <x v="0"/>
          </reference>
          <reference field="2" count="1" selected="0">
            <x v="1"/>
          </reference>
          <reference field="3" count="1" selected="0">
            <x v="2"/>
          </reference>
        </references>
      </pivotArea>
    </chartFormat>
    <chartFormat chart="18" format="2" series="1">
      <pivotArea type="data" outline="0" fieldPosition="0">
        <references count="3">
          <reference field="4294967294" count="1" selected="0">
            <x v="0"/>
          </reference>
          <reference field="2" count="1" selected="0">
            <x v="2"/>
          </reference>
          <reference field="3" count="1" selected="0">
            <x v="2"/>
          </reference>
        </references>
      </pivotArea>
    </chartFormat>
    <chartFormat chart="18" format="3" series="1">
      <pivotArea type="data" outline="0" fieldPosition="0">
        <references count="3">
          <reference field="4294967294" count="1" selected="0">
            <x v="0"/>
          </reference>
          <reference field="2" count="1" selected="0">
            <x v="3"/>
          </reference>
          <reference field="3" count="1" selected="0">
            <x v="2"/>
          </reference>
        </references>
      </pivotArea>
    </chartFormat>
    <chartFormat chart="18" format="4" series="1">
      <pivotArea type="data" outline="0" fieldPosition="0">
        <references count="3">
          <reference field="4294967294" count="1" selected="0">
            <x v="0"/>
          </reference>
          <reference field="2" count="1" selected="0">
            <x v="4"/>
          </reference>
          <reference field="3" count="1" selected="0">
            <x v="2"/>
          </reference>
        </references>
      </pivotArea>
    </chartFormat>
    <chartFormat chart="18" format="5" series="1">
      <pivotArea type="data" outline="0" fieldPosition="0">
        <references count="3">
          <reference field="4294967294" count="1" selected="0">
            <x v="0"/>
          </reference>
          <reference field="2" count="1" selected="0">
            <x v="0"/>
          </reference>
          <reference field="3" count="1" selected="0">
            <x v="3"/>
          </reference>
        </references>
      </pivotArea>
    </chartFormat>
    <chartFormat chart="18" format="6" series="1">
      <pivotArea type="data" outline="0" fieldPosition="0">
        <references count="3">
          <reference field="4294967294" count="1" selected="0">
            <x v="0"/>
          </reference>
          <reference field="2" count="1" selected="0">
            <x v="1"/>
          </reference>
          <reference field="3" count="1" selected="0">
            <x v="3"/>
          </reference>
        </references>
      </pivotArea>
    </chartFormat>
    <chartFormat chart="18" format="7" series="1">
      <pivotArea type="data" outline="0" fieldPosition="0">
        <references count="3">
          <reference field="4294967294" count="1" selected="0">
            <x v="0"/>
          </reference>
          <reference field="2" count="1" selected="0">
            <x v="2"/>
          </reference>
          <reference field="3" count="1" selected="0">
            <x v="3"/>
          </reference>
        </references>
      </pivotArea>
    </chartFormat>
    <chartFormat chart="18" format="8" series="1">
      <pivotArea type="data" outline="0" fieldPosition="0">
        <references count="3">
          <reference field="4294967294" count="1" selected="0">
            <x v="0"/>
          </reference>
          <reference field="2" count="1" selected="0">
            <x v="3"/>
          </reference>
          <reference field="3" count="1" selected="0">
            <x v="3"/>
          </reference>
        </references>
      </pivotArea>
    </chartFormat>
    <chartFormat chart="18" format="9" series="1">
      <pivotArea type="data" outline="0" fieldPosition="0">
        <references count="3">
          <reference field="4294967294" count="1" selected="0">
            <x v="0"/>
          </reference>
          <reference field="2" count="1" selected="0">
            <x v="4"/>
          </reference>
          <reference field="3" count="1" selected="0">
            <x v="3"/>
          </reference>
        </references>
      </pivotArea>
    </chartFormat>
    <chartFormat chart="18" format="10" series="1">
      <pivotArea type="data" outline="0" fieldPosition="0">
        <references count="3">
          <reference field="4294967294" count="1" selected="0">
            <x v="0"/>
          </reference>
          <reference field="2" count="1" selected="0">
            <x v="0"/>
          </reference>
          <reference field="3" count="1" selected="0">
            <x v="1"/>
          </reference>
        </references>
      </pivotArea>
    </chartFormat>
    <chartFormat chart="18" format="11" series="1">
      <pivotArea type="data" outline="0" fieldPosition="0">
        <references count="3">
          <reference field="4294967294" count="1" selected="0">
            <x v="0"/>
          </reference>
          <reference field="2" count="1" selected="0">
            <x v="1"/>
          </reference>
          <reference field="3" count="1" selected="0">
            <x v="1"/>
          </reference>
        </references>
      </pivotArea>
    </chartFormat>
    <chartFormat chart="18" format="12" series="1">
      <pivotArea type="data" outline="0" fieldPosition="0">
        <references count="3">
          <reference field="4294967294" count="1" selected="0">
            <x v="0"/>
          </reference>
          <reference field="2" count="1" selected="0">
            <x v="2"/>
          </reference>
          <reference field="3" count="1" selected="0">
            <x v="1"/>
          </reference>
        </references>
      </pivotArea>
    </chartFormat>
    <chartFormat chart="18" format="13" series="1">
      <pivotArea type="data" outline="0" fieldPosition="0">
        <references count="3">
          <reference field="4294967294" count="1" selected="0">
            <x v="0"/>
          </reference>
          <reference field="2" count="1" selected="0">
            <x v="3"/>
          </reference>
          <reference field="3" count="1" selected="0">
            <x v="1"/>
          </reference>
        </references>
      </pivotArea>
    </chartFormat>
    <chartFormat chart="18" format="14" series="1">
      <pivotArea type="data" outline="0" fieldPosition="0">
        <references count="3">
          <reference field="4294967294" count="1" selected="0">
            <x v="0"/>
          </reference>
          <reference field="2" count="1" selected="0">
            <x v="4"/>
          </reference>
          <reference field="3" count="1" selected="0">
            <x v="1"/>
          </reference>
        </references>
      </pivotArea>
    </chartFormat>
    <chartFormat chart="18" format="15" series="1">
      <pivotArea type="data" outline="0" fieldPosition="0">
        <references count="3">
          <reference field="4294967294" count="1" selected="0">
            <x v="0"/>
          </reference>
          <reference field="2" count="1" selected="0">
            <x v="0"/>
          </reference>
          <reference field="3" count="1" selected="0">
            <x v="4"/>
          </reference>
        </references>
      </pivotArea>
    </chartFormat>
    <chartFormat chart="18" format="16" series="1">
      <pivotArea type="data" outline="0" fieldPosition="0">
        <references count="3">
          <reference field="4294967294" count="1" selected="0">
            <x v="0"/>
          </reference>
          <reference field="2" count="1" selected="0">
            <x v="1"/>
          </reference>
          <reference field="3" count="1" selected="0">
            <x v="4"/>
          </reference>
        </references>
      </pivotArea>
    </chartFormat>
    <chartFormat chart="18" format="17" series="1">
      <pivotArea type="data" outline="0" fieldPosition="0">
        <references count="3">
          <reference field="4294967294" count="1" selected="0">
            <x v="0"/>
          </reference>
          <reference field="2" count="1" selected="0">
            <x v="2"/>
          </reference>
          <reference field="3" count="1" selected="0">
            <x v="4"/>
          </reference>
        </references>
      </pivotArea>
    </chartFormat>
    <chartFormat chart="18" format="18" series="1">
      <pivotArea type="data" outline="0" fieldPosition="0">
        <references count="3">
          <reference field="4294967294" count="1" selected="0">
            <x v="0"/>
          </reference>
          <reference field="2" count="1" selected="0">
            <x v="3"/>
          </reference>
          <reference field="3" count="1" selected="0">
            <x v="4"/>
          </reference>
        </references>
      </pivotArea>
    </chartFormat>
    <chartFormat chart="18" format="19" series="1">
      <pivotArea type="data" outline="0" fieldPosition="0">
        <references count="3">
          <reference field="4294967294" count="1" selected="0">
            <x v="0"/>
          </reference>
          <reference field="2" count="1" selected="0">
            <x v="4"/>
          </reference>
          <reference field="3" count="1" selected="0">
            <x v="4"/>
          </reference>
        </references>
      </pivotArea>
    </chartFormat>
    <chartFormat chart="18" format="20" series="1">
      <pivotArea type="data" outline="0" fieldPosition="0">
        <references count="3">
          <reference field="4294967294" count="1" selected="0">
            <x v="0"/>
          </reference>
          <reference field="2" count="1" selected="0">
            <x v="0"/>
          </reference>
          <reference field="3" count="1" selected="0">
            <x v="0"/>
          </reference>
        </references>
      </pivotArea>
    </chartFormat>
    <chartFormat chart="18" format="21" series="1">
      <pivotArea type="data" outline="0" fieldPosition="0">
        <references count="3">
          <reference field="4294967294" count="1" selected="0">
            <x v="0"/>
          </reference>
          <reference field="2" count="1" selected="0">
            <x v="1"/>
          </reference>
          <reference field="3" count="1" selected="0">
            <x v="0"/>
          </reference>
        </references>
      </pivotArea>
    </chartFormat>
    <chartFormat chart="18" format="22" series="1">
      <pivotArea type="data" outline="0" fieldPosition="0">
        <references count="3">
          <reference field="4294967294" count="1" selected="0">
            <x v="0"/>
          </reference>
          <reference field="2" count="1" selected="0">
            <x v="2"/>
          </reference>
          <reference field="3" count="1" selected="0">
            <x v="0"/>
          </reference>
        </references>
      </pivotArea>
    </chartFormat>
    <chartFormat chart="18" format="23" series="1">
      <pivotArea type="data" outline="0" fieldPosition="0">
        <references count="3">
          <reference field="4294967294" count="1" selected="0">
            <x v="0"/>
          </reference>
          <reference field="2" count="1" selected="0">
            <x v="3"/>
          </reference>
          <reference field="3" count="1" selected="0">
            <x v="0"/>
          </reference>
        </references>
      </pivotArea>
    </chartFormat>
    <chartFormat chart="18" format="24" series="1">
      <pivotArea type="data" outline="0" fieldPosition="0">
        <references count="3">
          <reference field="4294967294" count="1" selected="0">
            <x v="0"/>
          </reference>
          <reference field="2" count="1" selected="0">
            <x v="4"/>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A88DDB-AA17-4A66-9BC1-9C69889BA513}" name="Profit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2">
  <location ref="A933:G940" firstHeaderRow="1" firstDataRow="2" firstDataCol="1"/>
  <pivotFields count="21">
    <pivotField numFmtId="14" showAll="0">
      <items count="15">
        <item x="0"/>
        <item x="1"/>
        <item x="2"/>
        <item x="3"/>
        <item x="4"/>
        <item x="5"/>
        <item x="6"/>
        <item x="7"/>
        <item x="8"/>
        <item x="9"/>
        <item x="10"/>
        <item x="11"/>
        <item x="12"/>
        <item x="13"/>
        <item t="default"/>
      </items>
    </pivotField>
    <pivotField multipleItemSelectionAllowed="1" showAll="0">
      <items count="7">
        <item x="1"/>
        <item x="2"/>
        <item x="3"/>
        <item x="0"/>
        <item x="4"/>
        <item x="5"/>
        <item t="default"/>
      </items>
    </pivotField>
    <pivotField axis="axisCol" showAll="0">
      <items count="6">
        <item x="0"/>
        <item x="1"/>
        <item x="2"/>
        <item x="3"/>
        <item x="4"/>
        <item t="default"/>
      </items>
    </pivotField>
    <pivotField axis="axisRow"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numFmtId="166" showAll="0" maxSubtotal="1"/>
    <pivotField dataField="1"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showAll="0">
      <items count="5">
        <item sd="0" x="0"/>
        <item sd="0" x="1"/>
        <item x="2"/>
        <item sd="0" x="3"/>
        <item t="default"/>
      </items>
    </pivotField>
  </pivotFields>
  <rowFields count="1">
    <field x="3"/>
  </rowFields>
  <rowItems count="6">
    <i>
      <x/>
    </i>
    <i>
      <x v="1"/>
    </i>
    <i>
      <x v="2"/>
    </i>
    <i>
      <x v="3"/>
    </i>
    <i>
      <x v="4"/>
    </i>
    <i t="grand">
      <x/>
    </i>
  </rowItems>
  <colFields count="1">
    <field x="2"/>
  </colFields>
  <colItems count="6">
    <i>
      <x/>
    </i>
    <i>
      <x v="1"/>
    </i>
    <i>
      <x v="2"/>
    </i>
    <i>
      <x v="3"/>
    </i>
    <i>
      <x v="4"/>
    </i>
    <i t="grand">
      <x/>
    </i>
  </colItems>
  <dataFields count="1">
    <dataField name="Sum of Profi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ABB6AB-FBBA-4996-9B9D-9CDA6DF4CB87}" name="France_Seg_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688:H709" firstHeaderRow="1" firstDataRow="3" firstDataCol="1"/>
  <pivotFields count="21">
    <pivotField axis="axisRow"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axis="axisCol" showAll="0">
      <items count="6">
        <item x="0"/>
        <item x="1"/>
        <item x="2"/>
        <item x="3"/>
        <item x="4"/>
        <item t="default"/>
      </items>
    </pivotField>
    <pivotField axis="axisCol" showAll="0">
      <items count="6">
        <item h="1" x="4"/>
        <item x="3"/>
        <item h="1" x="2"/>
        <item h="1" x="1"/>
        <item h="1" x="0"/>
        <item t="default"/>
      </items>
    </pivotField>
    <pivotField showAll="0"/>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0"/>
    <field x="0"/>
  </rowFields>
  <rowItems count="19">
    <i>
      <x v="1"/>
    </i>
    <i r="1">
      <x v="9"/>
    </i>
    <i r="1">
      <x v="10"/>
    </i>
    <i r="1">
      <x v="11"/>
    </i>
    <i r="1">
      <x v="12"/>
    </i>
    <i>
      <x v="2"/>
    </i>
    <i r="1">
      <x v="1"/>
    </i>
    <i r="1">
      <x v="2"/>
    </i>
    <i r="1">
      <x v="3"/>
    </i>
    <i r="1">
      <x v="4"/>
    </i>
    <i r="1">
      <x v="5"/>
    </i>
    <i r="1">
      <x v="6"/>
    </i>
    <i r="1">
      <x v="7"/>
    </i>
    <i r="1">
      <x v="8"/>
    </i>
    <i r="1">
      <x v="9"/>
    </i>
    <i r="1">
      <x v="10"/>
    </i>
    <i r="1">
      <x v="11"/>
    </i>
    <i r="1">
      <x v="12"/>
    </i>
    <i t="grand">
      <x/>
    </i>
  </rowItems>
  <colFields count="2">
    <field x="3"/>
    <field x="2"/>
  </colFields>
  <colItems count="7">
    <i>
      <x v="1"/>
      <x/>
    </i>
    <i r="1">
      <x v="1"/>
    </i>
    <i r="1">
      <x v="2"/>
    </i>
    <i r="1">
      <x v="3"/>
    </i>
    <i r="1">
      <x v="4"/>
    </i>
    <i t="default">
      <x v="1"/>
    </i>
    <i t="grand">
      <x/>
    </i>
  </colItems>
  <dataFields count="1">
    <dataField name="Sum of Sales" fld="12" baseField="0" baseItem="0"/>
  </dataFields>
  <formats count="6">
    <format dxfId="49">
      <pivotArea type="all" dataOnly="0" outline="0" fieldPosition="0"/>
    </format>
    <format dxfId="48">
      <pivotArea outline="0" collapsedLevelsAreSubtotals="1" fieldPosition="0"/>
    </format>
    <format dxfId="47">
      <pivotArea field="20" type="button" dataOnly="0" labelOnly="1" outline="0" axis="axisRow" fieldPosition="0"/>
    </format>
    <format dxfId="46">
      <pivotArea dataOnly="0" labelOnly="1" fieldPosition="0">
        <references count="1">
          <reference field="20" count="2">
            <x v="1"/>
            <x v="2"/>
          </reference>
        </references>
      </pivotArea>
    </format>
    <format dxfId="45">
      <pivotArea dataOnly="0" labelOnly="1" grandRow="1" outline="0" fieldPosition="0"/>
    </format>
    <format dxfId="44">
      <pivotArea dataOnly="0" labelOnly="1" outline="0" fieldPosition="0">
        <references count="1">
          <reference field="4294967294" count="1">
            <x v="0"/>
          </reference>
        </references>
      </pivotArea>
    </format>
  </formats>
  <chartFormats count="7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3">
          <reference field="4294967294" count="1" selected="0">
            <x v="0"/>
          </reference>
          <reference field="2" count="1" selected="0">
            <x v="0"/>
          </reference>
          <reference field="3" count="1" selected="0">
            <x v="0"/>
          </reference>
        </references>
      </pivotArea>
    </chartFormat>
    <chartFormat chart="12" format="1" series="1">
      <pivotArea type="data" outline="0" fieldPosition="0">
        <references count="3">
          <reference field="4294967294" count="1" selected="0">
            <x v="0"/>
          </reference>
          <reference field="2" count="1" selected="0">
            <x v="1"/>
          </reference>
          <reference field="3" count="1" selected="0">
            <x v="0"/>
          </reference>
        </references>
      </pivotArea>
    </chartFormat>
    <chartFormat chart="12" format="2" series="1">
      <pivotArea type="data" outline="0" fieldPosition="0">
        <references count="3">
          <reference field="4294967294" count="1" selected="0">
            <x v="0"/>
          </reference>
          <reference field="2" count="1" selected="0">
            <x v="2"/>
          </reference>
          <reference field="3" count="1" selected="0">
            <x v="0"/>
          </reference>
        </references>
      </pivotArea>
    </chartFormat>
    <chartFormat chart="12" format="3" series="1">
      <pivotArea type="data" outline="0" fieldPosition="0">
        <references count="3">
          <reference field="4294967294" count="1" selected="0">
            <x v="0"/>
          </reference>
          <reference field="2" count="1" selected="0">
            <x v="3"/>
          </reference>
          <reference field="3" count="1" selected="0">
            <x v="0"/>
          </reference>
        </references>
      </pivotArea>
    </chartFormat>
    <chartFormat chart="12" format="4" series="1">
      <pivotArea type="data" outline="0" fieldPosition="0">
        <references count="3">
          <reference field="4294967294" count="1" selected="0">
            <x v="0"/>
          </reference>
          <reference field="2" count="1" selected="0">
            <x v="4"/>
          </reference>
          <reference field="3" count="1" selected="0">
            <x v="0"/>
          </reference>
        </references>
      </pivotArea>
    </chartFormat>
    <chartFormat chart="12" format="5" series="1">
      <pivotArea type="data" outline="0" fieldPosition="0">
        <references count="3">
          <reference field="4294967294" count="1" selected="0">
            <x v="0"/>
          </reference>
          <reference field="2" count="1" selected="0">
            <x v="0"/>
          </reference>
          <reference field="3" count="1" selected="0">
            <x v="1"/>
          </reference>
        </references>
      </pivotArea>
    </chartFormat>
    <chartFormat chart="12" format="6" series="1">
      <pivotArea type="data" outline="0" fieldPosition="0">
        <references count="3">
          <reference field="4294967294" count="1" selected="0">
            <x v="0"/>
          </reference>
          <reference field="2" count="1" selected="0">
            <x v="1"/>
          </reference>
          <reference field="3" count="1" selected="0">
            <x v="1"/>
          </reference>
        </references>
      </pivotArea>
    </chartFormat>
    <chartFormat chart="12" format="7" series="1">
      <pivotArea type="data" outline="0" fieldPosition="0">
        <references count="3">
          <reference field="4294967294" count="1" selected="0">
            <x v="0"/>
          </reference>
          <reference field="2" count="1" selected="0">
            <x v="2"/>
          </reference>
          <reference field="3" count="1" selected="0">
            <x v="1"/>
          </reference>
        </references>
      </pivotArea>
    </chartFormat>
    <chartFormat chart="12" format="8" series="1">
      <pivotArea type="data" outline="0" fieldPosition="0">
        <references count="3">
          <reference field="4294967294" count="1" selected="0">
            <x v="0"/>
          </reference>
          <reference field="2" count="1" selected="0">
            <x v="3"/>
          </reference>
          <reference field="3" count="1" selected="0">
            <x v="1"/>
          </reference>
        </references>
      </pivotArea>
    </chartFormat>
    <chartFormat chart="12" format="9" series="1">
      <pivotArea type="data" outline="0" fieldPosition="0">
        <references count="3">
          <reference field="4294967294" count="1" selected="0">
            <x v="0"/>
          </reference>
          <reference field="2" count="1" selected="0">
            <x v="4"/>
          </reference>
          <reference field="3" count="1" selected="0">
            <x v="1"/>
          </reference>
        </references>
      </pivotArea>
    </chartFormat>
    <chartFormat chart="12" format="10" series="1">
      <pivotArea type="data" outline="0" fieldPosition="0">
        <references count="3">
          <reference field="4294967294" count="1" selected="0">
            <x v="0"/>
          </reference>
          <reference field="2" count="1" selected="0">
            <x v="0"/>
          </reference>
          <reference field="3" count="1" selected="0">
            <x v="2"/>
          </reference>
        </references>
      </pivotArea>
    </chartFormat>
    <chartFormat chart="12" format="11" series="1">
      <pivotArea type="data" outline="0" fieldPosition="0">
        <references count="3">
          <reference field="4294967294" count="1" selected="0">
            <x v="0"/>
          </reference>
          <reference field="2" count="1" selected="0">
            <x v="1"/>
          </reference>
          <reference field="3" count="1" selected="0">
            <x v="2"/>
          </reference>
        </references>
      </pivotArea>
    </chartFormat>
    <chartFormat chart="12" format="12" series="1">
      <pivotArea type="data" outline="0" fieldPosition="0">
        <references count="3">
          <reference field="4294967294" count="1" selected="0">
            <x v="0"/>
          </reference>
          <reference field="2" count="1" selected="0">
            <x v="2"/>
          </reference>
          <reference field="3" count="1" selected="0">
            <x v="2"/>
          </reference>
        </references>
      </pivotArea>
    </chartFormat>
    <chartFormat chart="12" format="13" series="1">
      <pivotArea type="data" outline="0" fieldPosition="0">
        <references count="3">
          <reference field="4294967294" count="1" selected="0">
            <x v="0"/>
          </reference>
          <reference field="2" count="1" selected="0">
            <x v="3"/>
          </reference>
          <reference field="3" count="1" selected="0">
            <x v="2"/>
          </reference>
        </references>
      </pivotArea>
    </chartFormat>
    <chartFormat chart="12" format="14" series="1">
      <pivotArea type="data" outline="0" fieldPosition="0">
        <references count="3">
          <reference field="4294967294" count="1" selected="0">
            <x v="0"/>
          </reference>
          <reference field="2" count="1" selected="0">
            <x v="4"/>
          </reference>
          <reference field="3" count="1" selected="0">
            <x v="2"/>
          </reference>
        </references>
      </pivotArea>
    </chartFormat>
    <chartFormat chart="12" format="15" series="1">
      <pivotArea type="data" outline="0" fieldPosition="0">
        <references count="3">
          <reference field="4294967294" count="1" selected="0">
            <x v="0"/>
          </reference>
          <reference field="2" count="1" selected="0">
            <x v="0"/>
          </reference>
          <reference field="3" count="1" selected="0">
            <x v="3"/>
          </reference>
        </references>
      </pivotArea>
    </chartFormat>
    <chartFormat chart="12" format="16" series="1">
      <pivotArea type="data" outline="0" fieldPosition="0">
        <references count="3">
          <reference field="4294967294" count="1" selected="0">
            <x v="0"/>
          </reference>
          <reference field="2" count="1" selected="0">
            <x v="1"/>
          </reference>
          <reference field="3" count="1" selected="0">
            <x v="3"/>
          </reference>
        </references>
      </pivotArea>
    </chartFormat>
    <chartFormat chart="12" format="17" series="1">
      <pivotArea type="data" outline="0" fieldPosition="0">
        <references count="3">
          <reference field="4294967294" count="1" selected="0">
            <x v="0"/>
          </reference>
          <reference field="2" count="1" selected="0">
            <x v="2"/>
          </reference>
          <reference field="3" count="1" selected="0">
            <x v="3"/>
          </reference>
        </references>
      </pivotArea>
    </chartFormat>
    <chartFormat chart="12" format="18" series="1">
      <pivotArea type="data" outline="0" fieldPosition="0">
        <references count="3">
          <reference field="4294967294" count="1" selected="0">
            <x v="0"/>
          </reference>
          <reference field="2" count="1" selected="0">
            <x v="3"/>
          </reference>
          <reference field="3" count="1" selected="0">
            <x v="3"/>
          </reference>
        </references>
      </pivotArea>
    </chartFormat>
    <chartFormat chart="12" format="19" series="1">
      <pivotArea type="data" outline="0" fieldPosition="0">
        <references count="3">
          <reference field="4294967294" count="1" selected="0">
            <x v="0"/>
          </reference>
          <reference field="2" count="1" selected="0">
            <x v="4"/>
          </reference>
          <reference field="3" count="1" selected="0">
            <x v="3"/>
          </reference>
        </references>
      </pivotArea>
    </chartFormat>
    <chartFormat chart="12" format="20" series="1">
      <pivotArea type="data" outline="0" fieldPosition="0">
        <references count="3">
          <reference field="4294967294" count="1" selected="0">
            <x v="0"/>
          </reference>
          <reference field="2" count="1" selected="0">
            <x v="0"/>
          </reference>
          <reference field="3" count="1" selected="0">
            <x v="4"/>
          </reference>
        </references>
      </pivotArea>
    </chartFormat>
    <chartFormat chart="12" format="21" series="1">
      <pivotArea type="data" outline="0" fieldPosition="0">
        <references count="3">
          <reference field="4294967294" count="1" selected="0">
            <x v="0"/>
          </reference>
          <reference field="2" count="1" selected="0">
            <x v="1"/>
          </reference>
          <reference field="3" count="1" selected="0">
            <x v="4"/>
          </reference>
        </references>
      </pivotArea>
    </chartFormat>
    <chartFormat chart="12" format="22" series="1">
      <pivotArea type="data" outline="0" fieldPosition="0">
        <references count="3">
          <reference field="4294967294" count="1" selected="0">
            <x v="0"/>
          </reference>
          <reference field="2" count="1" selected="0">
            <x v="2"/>
          </reference>
          <reference field="3" count="1" selected="0">
            <x v="4"/>
          </reference>
        </references>
      </pivotArea>
    </chartFormat>
    <chartFormat chart="12" format="23" series="1">
      <pivotArea type="data" outline="0" fieldPosition="0">
        <references count="3">
          <reference field="4294967294" count="1" selected="0">
            <x v="0"/>
          </reference>
          <reference field="2" count="1" selected="0">
            <x v="3"/>
          </reference>
          <reference field="3" count="1" selected="0">
            <x v="4"/>
          </reference>
        </references>
      </pivotArea>
    </chartFormat>
    <chartFormat chart="12" format="24" series="1">
      <pivotArea type="data" outline="0" fieldPosition="0">
        <references count="3">
          <reference field="4294967294" count="1" selected="0">
            <x v="0"/>
          </reference>
          <reference field="2" count="1" selected="0">
            <x v="4"/>
          </reference>
          <reference field="3" count="1" selected="0">
            <x v="4"/>
          </reference>
        </references>
      </pivotArea>
    </chartFormat>
    <chartFormat chart="14" format="26" series="1">
      <pivotArea type="data" outline="0" fieldPosition="0">
        <references count="3">
          <reference field="4294967294" count="1" selected="0">
            <x v="0"/>
          </reference>
          <reference field="2" count="1" selected="0">
            <x v="0"/>
          </reference>
          <reference field="3" count="1" selected="0">
            <x v="4"/>
          </reference>
        </references>
      </pivotArea>
    </chartFormat>
    <chartFormat chart="14" format="27" series="1">
      <pivotArea type="data" outline="0" fieldPosition="0">
        <references count="3">
          <reference field="4294967294" count="1" selected="0">
            <x v="0"/>
          </reference>
          <reference field="2" count="1" selected="0">
            <x v="0"/>
          </reference>
          <reference field="3" count="1" selected="0">
            <x v="1"/>
          </reference>
        </references>
      </pivotArea>
    </chartFormat>
    <chartFormat chart="14" format="28" series="1">
      <pivotArea type="data" outline="0" fieldPosition="0">
        <references count="3">
          <reference field="4294967294" count="1" selected="0">
            <x v="0"/>
          </reference>
          <reference field="2" count="1" selected="0">
            <x v="0"/>
          </reference>
          <reference field="3" count="1" selected="0">
            <x v="2"/>
          </reference>
        </references>
      </pivotArea>
    </chartFormat>
    <chartFormat chart="14" format="29" series="1">
      <pivotArea type="data" outline="0" fieldPosition="0">
        <references count="3">
          <reference field="4294967294" count="1" selected="0">
            <x v="0"/>
          </reference>
          <reference field="2" count="1" selected="0">
            <x v="0"/>
          </reference>
          <reference field="3" count="1" selected="0">
            <x v="3"/>
          </reference>
        </references>
      </pivotArea>
    </chartFormat>
    <chartFormat chart="14" format="30" series="1">
      <pivotArea type="data" outline="0" fieldPosition="0">
        <references count="3">
          <reference field="4294967294" count="1" selected="0">
            <x v="0"/>
          </reference>
          <reference field="2" count="1" selected="0">
            <x v="0"/>
          </reference>
          <reference field="3" count="1" selected="0">
            <x v="0"/>
          </reference>
        </references>
      </pivotArea>
    </chartFormat>
    <chartFormat chart="14" format="31" series="1">
      <pivotArea type="data" outline="0" fieldPosition="0">
        <references count="3">
          <reference field="4294967294" count="1" selected="0">
            <x v="0"/>
          </reference>
          <reference field="2" count="1" selected="0">
            <x v="1"/>
          </reference>
          <reference field="3" count="1" selected="0">
            <x v="4"/>
          </reference>
        </references>
      </pivotArea>
    </chartFormat>
    <chartFormat chart="14" format="32" series="1">
      <pivotArea type="data" outline="0" fieldPosition="0">
        <references count="3">
          <reference field="4294967294" count="1" selected="0">
            <x v="0"/>
          </reference>
          <reference field="2" count="1" selected="0">
            <x v="2"/>
          </reference>
          <reference field="3" count="1" selected="0">
            <x v="4"/>
          </reference>
        </references>
      </pivotArea>
    </chartFormat>
    <chartFormat chart="14" format="33" series="1">
      <pivotArea type="data" outline="0" fieldPosition="0">
        <references count="3">
          <reference field="4294967294" count="1" selected="0">
            <x v="0"/>
          </reference>
          <reference field="2" count="1" selected="0">
            <x v="3"/>
          </reference>
          <reference field="3" count="1" selected="0">
            <x v="4"/>
          </reference>
        </references>
      </pivotArea>
    </chartFormat>
    <chartFormat chart="14" format="34" series="1">
      <pivotArea type="data" outline="0" fieldPosition="0">
        <references count="3">
          <reference field="4294967294" count="1" selected="0">
            <x v="0"/>
          </reference>
          <reference field="2" count="1" selected="0">
            <x v="4"/>
          </reference>
          <reference field="3" count="1" selected="0">
            <x v="4"/>
          </reference>
        </references>
      </pivotArea>
    </chartFormat>
    <chartFormat chart="15" format="0" series="1">
      <pivotArea type="data" outline="0" fieldPosition="0">
        <references count="3">
          <reference field="4294967294" count="1" selected="0">
            <x v="0"/>
          </reference>
          <reference field="2" count="1" selected="0">
            <x v="0"/>
          </reference>
          <reference field="3" count="1" selected="0">
            <x v="4"/>
          </reference>
        </references>
      </pivotArea>
    </chartFormat>
    <chartFormat chart="15" format="1" series="1">
      <pivotArea type="data" outline="0" fieldPosition="0">
        <references count="3">
          <reference field="4294967294" count="1" selected="0">
            <x v="0"/>
          </reference>
          <reference field="2" count="1" selected="0">
            <x v="1"/>
          </reference>
          <reference field="3" count="1" selected="0">
            <x v="4"/>
          </reference>
        </references>
      </pivotArea>
    </chartFormat>
    <chartFormat chart="15" format="2" series="1">
      <pivotArea type="data" outline="0" fieldPosition="0">
        <references count="3">
          <reference field="4294967294" count="1" selected="0">
            <x v="0"/>
          </reference>
          <reference field="2" count="1" selected="0">
            <x v="2"/>
          </reference>
          <reference field="3" count="1" selected="0">
            <x v="4"/>
          </reference>
        </references>
      </pivotArea>
    </chartFormat>
    <chartFormat chart="15" format="3" series="1">
      <pivotArea type="data" outline="0" fieldPosition="0">
        <references count="3">
          <reference field="4294967294" count="1" selected="0">
            <x v="0"/>
          </reference>
          <reference field="2" count="1" selected="0">
            <x v="3"/>
          </reference>
          <reference field="3" count="1" selected="0">
            <x v="4"/>
          </reference>
        </references>
      </pivotArea>
    </chartFormat>
    <chartFormat chart="15" format="4" series="1">
      <pivotArea type="data" outline="0" fieldPosition="0">
        <references count="3">
          <reference field="4294967294" count="1" selected="0">
            <x v="0"/>
          </reference>
          <reference field="2" count="1" selected="0">
            <x v="4"/>
          </reference>
          <reference field="3" count="1" selected="0">
            <x v="4"/>
          </reference>
        </references>
      </pivotArea>
    </chartFormat>
    <chartFormat chart="15" format="5" series="1">
      <pivotArea type="data" outline="0" fieldPosition="0">
        <references count="3">
          <reference field="4294967294" count="1" selected="0">
            <x v="0"/>
          </reference>
          <reference field="2" count="1" selected="0">
            <x v="0"/>
          </reference>
          <reference field="3" count="1" selected="0">
            <x v="0"/>
          </reference>
        </references>
      </pivotArea>
    </chartFormat>
    <chartFormat chart="15" format="6" series="1">
      <pivotArea type="data" outline="0" fieldPosition="0">
        <references count="3">
          <reference field="4294967294" count="1" selected="0">
            <x v="0"/>
          </reference>
          <reference field="2" count="1" selected="0">
            <x v="1"/>
          </reference>
          <reference field="3" count="1" selected="0">
            <x v="0"/>
          </reference>
        </references>
      </pivotArea>
    </chartFormat>
    <chartFormat chart="15" format="7" series="1">
      <pivotArea type="data" outline="0" fieldPosition="0">
        <references count="3">
          <reference field="4294967294" count="1" selected="0">
            <x v="0"/>
          </reference>
          <reference field="2" count="1" selected="0">
            <x v="2"/>
          </reference>
          <reference field="3" count="1" selected="0">
            <x v="0"/>
          </reference>
        </references>
      </pivotArea>
    </chartFormat>
    <chartFormat chart="15" format="8" series="1">
      <pivotArea type="data" outline="0" fieldPosition="0">
        <references count="3">
          <reference field="4294967294" count="1" selected="0">
            <x v="0"/>
          </reference>
          <reference field="2" count="1" selected="0">
            <x v="3"/>
          </reference>
          <reference field="3" count="1" selected="0">
            <x v="0"/>
          </reference>
        </references>
      </pivotArea>
    </chartFormat>
    <chartFormat chart="15" format="9" series="1">
      <pivotArea type="data" outline="0" fieldPosition="0">
        <references count="3">
          <reference field="4294967294" count="1" selected="0">
            <x v="0"/>
          </reference>
          <reference field="2" count="1" selected="0">
            <x v="4"/>
          </reference>
          <reference field="3" count="1" selected="0">
            <x v="0"/>
          </reference>
        </references>
      </pivotArea>
    </chartFormat>
    <chartFormat chart="16" format="0" series="1">
      <pivotArea type="data" outline="0" fieldPosition="0">
        <references count="3">
          <reference field="4294967294" count="1" selected="0">
            <x v="0"/>
          </reference>
          <reference field="2" count="1" selected="0">
            <x v="0"/>
          </reference>
          <reference field="3" count="1" selected="0">
            <x v="0"/>
          </reference>
        </references>
      </pivotArea>
    </chartFormat>
    <chartFormat chart="16" format="1" series="1">
      <pivotArea type="data" outline="0" fieldPosition="0">
        <references count="3">
          <reference field="4294967294" count="1" selected="0">
            <x v="0"/>
          </reference>
          <reference field="2" count="1" selected="0">
            <x v="1"/>
          </reference>
          <reference field="3" count="1" selected="0">
            <x v="0"/>
          </reference>
        </references>
      </pivotArea>
    </chartFormat>
    <chartFormat chart="16" format="2" series="1">
      <pivotArea type="data" outline="0" fieldPosition="0">
        <references count="3">
          <reference field="4294967294" count="1" selected="0">
            <x v="0"/>
          </reference>
          <reference field="2" count="1" selected="0">
            <x v="2"/>
          </reference>
          <reference field="3" count="1" selected="0">
            <x v="0"/>
          </reference>
        </references>
      </pivotArea>
    </chartFormat>
    <chartFormat chart="16" format="3" series="1">
      <pivotArea type="data" outline="0" fieldPosition="0">
        <references count="3">
          <reference field="4294967294" count="1" selected="0">
            <x v="0"/>
          </reference>
          <reference field="2" count="1" selected="0">
            <x v="3"/>
          </reference>
          <reference field="3" count="1" selected="0">
            <x v="0"/>
          </reference>
        </references>
      </pivotArea>
    </chartFormat>
    <chartFormat chart="16" format="4" series="1">
      <pivotArea type="data" outline="0" fieldPosition="0">
        <references count="3">
          <reference field="4294967294" count="1" selected="0">
            <x v="0"/>
          </reference>
          <reference field="2" count="1" selected="0">
            <x v="4"/>
          </reference>
          <reference field="3" count="1" selected="0">
            <x v="0"/>
          </reference>
        </references>
      </pivotArea>
    </chartFormat>
    <chartFormat chart="16" format="5" series="1">
      <pivotArea type="data" outline="0" fieldPosition="0">
        <references count="3">
          <reference field="4294967294" count="1" selected="0">
            <x v="0"/>
          </reference>
          <reference field="2" count="1" selected="0">
            <x v="0"/>
          </reference>
          <reference field="3" count="1" selected="0">
            <x v="3"/>
          </reference>
        </references>
      </pivotArea>
    </chartFormat>
    <chartFormat chart="16" format="6" series="1">
      <pivotArea type="data" outline="0" fieldPosition="0">
        <references count="3">
          <reference field="4294967294" count="1" selected="0">
            <x v="0"/>
          </reference>
          <reference field="2" count="1" selected="0">
            <x v="1"/>
          </reference>
          <reference field="3" count="1" selected="0">
            <x v="3"/>
          </reference>
        </references>
      </pivotArea>
    </chartFormat>
    <chartFormat chart="16" format="7" series="1">
      <pivotArea type="data" outline="0" fieldPosition="0">
        <references count="3">
          <reference field="4294967294" count="1" selected="0">
            <x v="0"/>
          </reference>
          <reference field="2" count="1" selected="0">
            <x v="2"/>
          </reference>
          <reference field="3" count="1" selected="0">
            <x v="3"/>
          </reference>
        </references>
      </pivotArea>
    </chartFormat>
    <chartFormat chart="16" format="8" series="1">
      <pivotArea type="data" outline="0" fieldPosition="0">
        <references count="3">
          <reference field="4294967294" count="1" selected="0">
            <x v="0"/>
          </reference>
          <reference field="2" count="1" selected="0">
            <x v="3"/>
          </reference>
          <reference field="3" count="1" selected="0">
            <x v="3"/>
          </reference>
        </references>
      </pivotArea>
    </chartFormat>
    <chartFormat chart="16" format="9" series="1">
      <pivotArea type="data" outline="0" fieldPosition="0">
        <references count="3">
          <reference field="4294967294" count="1" selected="0">
            <x v="0"/>
          </reference>
          <reference field="2" count="1" selected="0">
            <x v="4"/>
          </reference>
          <reference field="3" count="1" selected="0">
            <x v="3"/>
          </reference>
        </references>
      </pivotArea>
    </chartFormat>
    <chartFormat chart="16" format="10" series="1">
      <pivotArea type="data" outline="0" fieldPosition="0">
        <references count="3">
          <reference field="4294967294" count="1" selected="0">
            <x v="0"/>
          </reference>
          <reference field="2" count="1" selected="0">
            <x v="0"/>
          </reference>
          <reference field="3" count="1" selected="0">
            <x v="1"/>
          </reference>
        </references>
      </pivotArea>
    </chartFormat>
    <chartFormat chart="16" format="11" series="1">
      <pivotArea type="data" outline="0" fieldPosition="0">
        <references count="3">
          <reference field="4294967294" count="1" selected="0">
            <x v="0"/>
          </reference>
          <reference field="2" count="1" selected="0">
            <x v="1"/>
          </reference>
          <reference field="3" count="1" selected="0">
            <x v="1"/>
          </reference>
        </references>
      </pivotArea>
    </chartFormat>
    <chartFormat chart="16" format="12" series="1">
      <pivotArea type="data" outline="0" fieldPosition="0">
        <references count="3">
          <reference field="4294967294" count="1" selected="0">
            <x v="0"/>
          </reference>
          <reference field="2" count="1" selected="0">
            <x v="2"/>
          </reference>
          <reference field="3" count="1" selected="0">
            <x v="1"/>
          </reference>
        </references>
      </pivotArea>
    </chartFormat>
    <chartFormat chart="16" format="13" series="1">
      <pivotArea type="data" outline="0" fieldPosition="0">
        <references count="3">
          <reference field="4294967294" count="1" selected="0">
            <x v="0"/>
          </reference>
          <reference field="2" count="1" selected="0">
            <x v="3"/>
          </reference>
          <reference field="3" count="1" selected="0">
            <x v="1"/>
          </reference>
        </references>
      </pivotArea>
    </chartFormat>
    <chartFormat chart="16" format="14" series="1">
      <pivotArea type="data" outline="0" fieldPosition="0">
        <references count="3">
          <reference field="4294967294" count="1" selected="0">
            <x v="0"/>
          </reference>
          <reference field="2" count="1" selected="0">
            <x v="4"/>
          </reference>
          <reference field="3" count="1" selected="0">
            <x v="1"/>
          </reference>
        </references>
      </pivotArea>
    </chartFormat>
    <chartFormat chart="21" format="30" series="1">
      <pivotArea type="data" outline="0" fieldPosition="0">
        <references count="3">
          <reference field="4294967294" count="1" selected="0">
            <x v="0"/>
          </reference>
          <reference field="2" count="1" selected="0">
            <x v="0"/>
          </reference>
          <reference field="3" count="1" selected="0">
            <x v="1"/>
          </reference>
        </references>
      </pivotArea>
    </chartFormat>
    <chartFormat chart="21" format="31" series="1">
      <pivotArea type="data" outline="0" fieldPosition="0">
        <references count="3">
          <reference field="4294967294" count="1" selected="0">
            <x v="0"/>
          </reference>
          <reference field="2" count="1" selected="0">
            <x v="1"/>
          </reference>
          <reference field="3" count="1" selected="0">
            <x v="1"/>
          </reference>
        </references>
      </pivotArea>
    </chartFormat>
    <chartFormat chart="21" format="32" series="1">
      <pivotArea type="data" outline="0" fieldPosition="0">
        <references count="3">
          <reference field="4294967294" count="1" selected="0">
            <x v="0"/>
          </reference>
          <reference field="2" count="1" selected="0">
            <x v="2"/>
          </reference>
          <reference field="3" count="1" selected="0">
            <x v="1"/>
          </reference>
        </references>
      </pivotArea>
    </chartFormat>
    <chartFormat chart="21" format="33" series="1">
      <pivotArea type="data" outline="0" fieldPosition="0">
        <references count="3">
          <reference field="4294967294" count="1" selected="0">
            <x v="0"/>
          </reference>
          <reference field="2" count="1" selected="0">
            <x v="3"/>
          </reference>
          <reference field="3" count="1" selected="0">
            <x v="1"/>
          </reference>
        </references>
      </pivotArea>
    </chartFormat>
    <chartFormat chart="21" format="34" series="1">
      <pivotArea type="data" outline="0" fieldPosition="0">
        <references count="3">
          <reference field="4294967294" count="1" selected="0">
            <x v="0"/>
          </reference>
          <reference field="2" count="1" selected="0">
            <x v="4"/>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B94592-46BA-4C9D-87D8-AA456C7F9003}"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2">
  <location ref="A568:D574" firstHeaderRow="0" firstDataRow="1" firstDataCol="1"/>
  <pivotFields count="21">
    <pivotField numFmtId="14" showAll="0">
      <items count="15">
        <item x="0"/>
        <item x="1"/>
        <item x="2"/>
        <item x="3"/>
        <item x="4"/>
        <item x="5"/>
        <item x="6"/>
        <item x="7"/>
        <item x="8"/>
        <item x="9"/>
        <item x="10"/>
        <item x="11"/>
        <item x="12"/>
        <item x="13"/>
        <item t="default"/>
      </items>
    </pivotField>
    <pivotField multipleItemSelectionAllowed="1" showAll="0">
      <items count="7">
        <item x="1"/>
        <item x="2"/>
        <item x="3"/>
        <item x="0"/>
        <item x="4"/>
        <item x="5"/>
        <item t="default"/>
      </items>
    </pivotField>
    <pivotField showAll="0">
      <items count="6">
        <item x="0"/>
        <item x="1"/>
        <item x="2"/>
        <item x="3"/>
        <item x="4"/>
        <item t="default"/>
      </items>
    </pivotField>
    <pivotField axis="axisRow" showAll="0" sortType="descending">
      <items count="6">
        <item x="4"/>
        <item x="3"/>
        <item x="2"/>
        <item x="1"/>
        <item x="0"/>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dataField="1" numFmtId="166" showAll="0" maxSubtotal="1"/>
    <pivotField dataField="1" numFmtId="166" showAll="0"/>
    <pivotField showAll="0"/>
    <pivotField dataField="1" numFmtId="166" showAll="0"/>
    <pivotField showAll="0"/>
    <pivotField numFmtId="169" showAll="0"/>
    <pivotField numFmtId="169" showAll="0"/>
    <pivotField showAll="0">
      <items count="7">
        <item sd="0" x="0"/>
        <item sd="0" x="1"/>
        <item sd="0" x="2"/>
        <item sd="0" x="3"/>
        <item sd="0" x="4"/>
        <item sd="0" x="5"/>
        <item t="default"/>
      </items>
    </pivotField>
    <pivotField showAll="0">
      <items count="5">
        <item sd="0" x="0"/>
        <item sd="0" x="1"/>
        <item x="2"/>
        <item sd="0" x="3"/>
        <item t="default"/>
      </items>
    </pivotField>
  </pivotFields>
  <rowFields count="1">
    <field x="3"/>
  </rowFields>
  <rowItems count="6">
    <i>
      <x v="4"/>
    </i>
    <i>
      <x/>
    </i>
    <i>
      <x v="1"/>
    </i>
    <i>
      <x v="2"/>
    </i>
    <i>
      <x v="3"/>
    </i>
    <i t="grand">
      <x/>
    </i>
  </rowItems>
  <colFields count="1">
    <field x="-2"/>
  </colFields>
  <colItems count="3">
    <i>
      <x/>
    </i>
    <i i="1">
      <x v="1"/>
    </i>
    <i i="2">
      <x v="2"/>
    </i>
  </colItems>
  <dataFields count="3">
    <dataField name="Sum of Sales" fld="12" baseField="3" baseItem="0"/>
    <dataField name="Sum of Profit" fld="13" baseField="0" baseItem="0"/>
    <dataField name="Average of Profit Ratio" fld="15" subtotal="average" baseField="3" baseItem="2" numFmtId="168"/>
  </dataFields>
  <chartFormats count="6">
    <chartFormat chart="16"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0"/>
          </reference>
        </references>
      </pivotArea>
    </chartFormat>
    <chartFormat chart="29" format="4" series="1">
      <pivotArea type="data" outline="0" fieldPosition="0">
        <references count="1">
          <reference field="4294967294" count="1" selected="0">
            <x v="1"/>
          </reference>
        </references>
      </pivotArea>
    </chartFormat>
    <chartFormat chart="29"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B796CB-0ADF-4C73-A9BB-C2C35DA7A32D}"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192:I199" firstHeaderRow="1" firstDataRow="2" firstDataCol="1"/>
  <pivotFields count="21">
    <pivotField numFmtId="14" showAll="0">
      <items count="15">
        <item x="0"/>
        <item x="1"/>
        <item x="2"/>
        <item x="3"/>
        <item x="4"/>
        <item x="5"/>
        <item x="6"/>
        <item x="7"/>
        <item x="8"/>
        <item x="9"/>
        <item x="10"/>
        <item x="11"/>
        <item x="12"/>
        <item x="13"/>
        <item t="default"/>
      </items>
    </pivotField>
    <pivotField showAll="0"/>
    <pivotField axis="axisRow" showAll="0">
      <items count="6">
        <item x="0"/>
        <item x="1"/>
        <item x="2"/>
        <item x="3"/>
        <item x="4"/>
        <item t="default"/>
      </items>
    </pivotField>
    <pivotField showAll="0"/>
    <pivotField showAll="0"/>
    <pivotField numFmtId="166" showAll="0"/>
    <pivotField numFmtId="166" showAll="0"/>
    <pivotField axis="axisCol" numFmtId="166" showAll="0">
      <items count="8">
        <item x="2"/>
        <item x="0"/>
        <item x="5"/>
        <item x="3"/>
        <item x="1"/>
        <item x="6"/>
        <item x="4"/>
        <item t="default"/>
      </items>
    </pivotField>
    <pivotField dataField="1" showAll="0"/>
    <pivotField numFmtId="166" showAll="0"/>
    <pivotField numFmtId="166" showAll="0"/>
    <pivotField showAll="0"/>
    <pivotField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2"/>
  </rowFields>
  <rowItems count="6">
    <i>
      <x/>
    </i>
    <i>
      <x v="1"/>
    </i>
    <i>
      <x v="2"/>
    </i>
    <i>
      <x v="3"/>
    </i>
    <i>
      <x v="4"/>
    </i>
    <i t="grand">
      <x/>
    </i>
  </rowItems>
  <colFields count="1">
    <field x="7"/>
  </colFields>
  <colItems count="8">
    <i>
      <x/>
    </i>
    <i>
      <x v="1"/>
    </i>
    <i>
      <x v="2"/>
    </i>
    <i>
      <x v="3"/>
    </i>
    <i>
      <x v="4"/>
    </i>
    <i>
      <x v="5"/>
    </i>
    <i>
      <x v="6"/>
    </i>
    <i t="grand">
      <x/>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CBD4B18-B018-497D-B549-16D4FC8FBBF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164:H171" firstHeaderRow="1" firstDataRow="2" firstDataCol="1"/>
  <pivotFields count="21">
    <pivotField numFmtId="14" showAll="0">
      <items count="15">
        <item x="0"/>
        <item x="1"/>
        <item x="2"/>
        <item x="3"/>
        <item x="4"/>
        <item x="5"/>
        <item x="6"/>
        <item x="7"/>
        <item x="8"/>
        <item x="9"/>
        <item x="10"/>
        <item x="11"/>
        <item x="12"/>
        <item x="13"/>
        <item t="default"/>
      </items>
    </pivotField>
    <pivotField axis="axisCol" showAll="0">
      <items count="7">
        <item x="1"/>
        <item x="2"/>
        <item x="3"/>
        <item x="0"/>
        <item x="4"/>
        <item x="5"/>
        <item t="default"/>
      </items>
    </pivotField>
    <pivotField showAll="0"/>
    <pivotField axis="axisRow" showAll="0">
      <items count="6">
        <item x="4"/>
        <item x="3"/>
        <item x="2"/>
        <item x="1"/>
        <item x="0"/>
        <item t="default"/>
      </items>
    </pivotField>
    <pivotField showAll="0"/>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i>
    <i>
      <x v="1"/>
    </i>
    <i>
      <x v="2"/>
    </i>
    <i>
      <x v="3"/>
    </i>
    <i>
      <x v="4"/>
    </i>
    <i t="grand">
      <x/>
    </i>
  </rowItems>
  <colFields count="1">
    <field x="1"/>
  </colFields>
  <colItems count="7">
    <i>
      <x/>
    </i>
    <i>
      <x v="1"/>
    </i>
    <i>
      <x v="2"/>
    </i>
    <i>
      <x v="3"/>
    </i>
    <i>
      <x v="4"/>
    </i>
    <i>
      <x v="5"/>
    </i>
    <i t="grand">
      <x/>
    </i>
  </colItems>
  <dataFields count="1">
    <dataField name="Sum of Sales" fld="12" baseField="0" baseItem="0"/>
  </dataFields>
  <chartFormats count="6">
    <chartFormat chart="10" format="7" series="1">
      <pivotArea type="data" outline="0" fieldPosition="0">
        <references count="2">
          <reference field="4294967294" count="1" selected="0">
            <x v="0"/>
          </reference>
          <reference field="1" count="1" selected="0">
            <x v="3"/>
          </reference>
        </references>
      </pivotArea>
    </chartFormat>
    <chartFormat chart="10" format="8" series="1">
      <pivotArea type="data" outline="0" fieldPosition="0">
        <references count="2">
          <reference field="4294967294" count="1" selected="0">
            <x v="0"/>
          </reference>
          <reference field="1" count="1" selected="0">
            <x v="4"/>
          </reference>
        </references>
      </pivotArea>
    </chartFormat>
    <chartFormat chart="10" format="9" series="1">
      <pivotArea type="data" outline="0" fieldPosition="0">
        <references count="2">
          <reference field="4294967294" count="1" selected="0">
            <x v="0"/>
          </reference>
          <reference field="1" count="1" selected="0">
            <x v="5"/>
          </reference>
        </references>
      </pivotArea>
    </chartFormat>
    <chartFormat chart="10" format="10" series="1">
      <pivotArea type="data" outline="0" fieldPosition="0">
        <references count="2">
          <reference field="4294967294" count="1" selected="0">
            <x v="0"/>
          </reference>
          <reference field="1" count="1" selected="0">
            <x v="0"/>
          </reference>
        </references>
      </pivotArea>
    </chartFormat>
    <chartFormat chart="10" format="11" series="1">
      <pivotArea type="data" outline="0" fieldPosition="0">
        <references count="2">
          <reference field="4294967294" count="1" selected="0">
            <x v="0"/>
          </reference>
          <reference field="1" count="1" selected="0">
            <x v="1"/>
          </reference>
        </references>
      </pivotArea>
    </chartFormat>
    <chartFormat chart="10" format="1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50AACC7-2043-478D-8557-B53EE9F58CBB}"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182:E188" firstHeaderRow="0" firstDataRow="1" firstDataCol="1"/>
  <pivotFields count="21">
    <pivotField numFmtId="14" showAll="0">
      <items count="15">
        <item x="0"/>
        <item x="1"/>
        <item x="2"/>
        <item x="3"/>
        <item x="4"/>
        <item x="5"/>
        <item x="6"/>
        <item x="7"/>
        <item x="8"/>
        <item x="9"/>
        <item x="10"/>
        <item x="11"/>
        <item x="12"/>
        <item x="13"/>
        <item t="default"/>
      </items>
    </pivotField>
    <pivotField showAll="0"/>
    <pivotField showAll="0"/>
    <pivotField axis="axisRow" showAll="0">
      <items count="6">
        <item x="4"/>
        <item x="3"/>
        <item x="2"/>
        <item x="1"/>
        <item x="0"/>
        <item t="default"/>
      </items>
    </pivotField>
    <pivotField showAll="0"/>
    <pivotField numFmtId="166" showAll="0"/>
    <pivotField numFmtId="166" showAll="0"/>
    <pivotField numFmtId="166" showAll="0"/>
    <pivotField dataField="1" showAll="0"/>
    <pivotField numFmtId="166" showAll="0"/>
    <pivotField dataField="1" numFmtId="166" showAll="0"/>
    <pivotField showAll="0"/>
    <pivotField numFmtId="166" showAll="0"/>
    <pivotField dataField="1" numFmtId="166" showAll="0"/>
    <pivotField showAll="0"/>
    <pivotField dataField="1"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i>
    <i>
      <x v="1"/>
    </i>
    <i>
      <x v="2"/>
    </i>
    <i>
      <x v="3"/>
    </i>
    <i>
      <x v="4"/>
    </i>
    <i t="grand">
      <x/>
    </i>
  </rowItems>
  <colFields count="1">
    <field x="-2"/>
  </colFields>
  <colItems count="4">
    <i>
      <x/>
    </i>
    <i i="1">
      <x v="1"/>
    </i>
    <i i="2">
      <x v="2"/>
    </i>
    <i i="3">
      <x v="3"/>
    </i>
  </colItems>
  <dataFields count="4">
    <dataField name="Sum of Profit" fld="13" baseField="0" baseItem="0"/>
    <dataField name="Sum of Discounts" fld="10" baseField="0" baseItem="0"/>
    <dataField name="Sum of Units Sold" fld="8" baseField="0" baseItem="0"/>
    <dataField name="Average of Profit Ratio" fld="15" subtotal="average" baseField="3" baseItem="0"/>
  </dataField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D073674-4620-4D32-B376-CA5F3D8A9334}"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4">
  <location ref="A877:C897" firstHeaderRow="1" firstDataRow="2" firstDataCol="1"/>
  <pivotFields count="21">
    <pivotField axis="axisRow"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showAll="0"/>
    <pivotField axis="axisCol" showAll="0" measureFilter="1">
      <items count="6">
        <item x="4"/>
        <item x="3"/>
        <item x="2"/>
        <item x="1"/>
        <item x="0"/>
        <item t="default"/>
      </items>
    </pivotField>
    <pivotField showAll="0"/>
    <pivotField numFmtId="166" showAll="0"/>
    <pivotField numFmtId="166" showAll="0"/>
    <pivotField numFmtId="166" showAll="0"/>
    <pivotField showAll="0"/>
    <pivotField numFmtId="166" showAll="0"/>
    <pivotField numFmtId="166" showAll="0"/>
    <pivotField showAll="0"/>
    <pivotField numFmtId="166" showAll="0"/>
    <pivotField dataField="1"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0"/>
    <field x="0"/>
  </rowFields>
  <rowItems count="19">
    <i>
      <x v="1"/>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2">
    <i>
      <x v="3"/>
    </i>
    <i t="grand">
      <x/>
    </i>
  </colItems>
  <dataFields count="1">
    <dataField name="Sum of Profit" fld="13" baseField="0" baseItem="0"/>
  </dataFields>
  <formats count="5">
    <format dxfId="54">
      <pivotArea type="all" dataOnly="0" outline="0" fieldPosition="0"/>
    </format>
    <format dxfId="53">
      <pivotArea outline="0" collapsedLevelsAreSubtotals="1" fieldPosition="0"/>
    </format>
    <format dxfId="52">
      <pivotArea field="20" type="button" dataOnly="0" labelOnly="1" outline="0" axis="axisRow" fieldPosition="0"/>
    </format>
    <format dxfId="51">
      <pivotArea dataOnly="0" labelOnly="1" fieldPosition="0">
        <references count="1">
          <reference field="20" count="2">
            <x v="1"/>
            <x v="2"/>
          </reference>
        </references>
      </pivotArea>
    </format>
    <format dxfId="50">
      <pivotArea dataOnly="0" labelOnly="1" grandRow="1" outline="0" fieldPosition="0"/>
    </format>
  </formats>
  <chartFormats count="8">
    <chartFormat chart="28" format="0" series="1">
      <pivotArea type="data" outline="0" fieldPosition="0">
        <references count="2">
          <reference field="4294967294" count="1" selected="0">
            <x v="0"/>
          </reference>
          <reference field="3" count="1" selected="0">
            <x v="3"/>
          </reference>
        </references>
      </pivotArea>
    </chartFormat>
    <chartFormat chart="28" format="1" series="1">
      <pivotArea type="data" outline="0" fieldPosition="0">
        <references count="2">
          <reference field="4294967294" count="1" selected="0">
            <x v="0"/>
          </reference>
          <reference field="3" count="1" selected="0">
            <x v="4"/>
          </reference>
        </references>
      </pivotArea>
    </chartFormat>
    <chartFormat chart="28" format="2" series="1">
      <pivotArea type="data" outline="0" fieldPosition="0">
        <references count="2">
          <reference field="4294967294" count="1" selected="0">
            <x v="0"/>
          </reference>
          <reference field="3" count="1" selected="0">
            <x v="0"/>
          </reference>
        </references>
      </pivotArea>
    </chartFormat>
    <chartFormat chart="28" format="3" series="1">
      <pivotArea type="data" outline="0" fieldPosition="0">
        <references count="2">
          <reference field="4294967294" count="1" selected="0">
            <x v="0"/>
          </reference>
          <reference field="3" count="1" selected="0">
            <x v="2"/>
          </reference>
        </references>
      </pivotArea>
    </chartFormat>
    <chartFormat chart="33" format="10" series="1">
      <pivotArea type="data" outline="0" fieldPosition="0">
        <references count="2">
          <reference field="4294967294" count="1" selected="0">
            <x v="0"/>
          </reference>
          <reference field="3" count="1" selected="0">
            <x v="0"/>
          </reference>
        </references>
      </pivotArea>
    </chartFormat>
    <chartFormat chart="33" format="11" series="1">
      <pivotArea type="data" outline="0" fieldPosition="0">
        <references count="2">
          <reference field="4294967294" count="1" selected="0">
            <x v="0"/>
          </reference>
          <reference field="3" count="1" selected="0">
            <x v="3"/>
          </reference>
        </references>
      </pivotArea>
    </chartFormat>
    <chartFormat chart="33" format="12" series="1">
      <pivotArea type="data" outline="0" fieldPosition="0">
        <references count="2">
          <reference field="4294967294" count="1" selected="0">
            <x v="0"/>
          </reference>
          <reference field="3" count="1" selected="0">
            <x v="4"/>
          </reference>
        </references>
      </pivotArea>
    </chartFormat>
    <chartFormat chart="33" format="13"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249B918-1CC6-40CF-8BFF-525627AF438A}" name="Canada_Seg_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661:H682" firstHeaderRow="1" firstDataRow="3" firstDataCol="1"/>
  <pivotFields count="21">
    <pivotField axis="axisRow"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axis="axisCol" showAll="0">
      <items count="6">
        <item x="0"/>
        <item x="1"/>
        <item x="2"/>
        <item x="3"/>
        <item x="4"/>
        <item t="default"/>
      </items>
    </pivotField>
    <pivotField axis="axisCol" showAll="0">
      <items count="6">
        <item x="4"/>
        <item h="1" x="3"/>
        <item h="1" x="2"/>
        <item h="1" x="1"/>
        <item h="1" x="0"/>
        <item t="default"/>
      </items>
    </pivotField>
    <pivotField showAll="0"/>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0"/>
    <field x="0"/>
  </rowFields>
  <rowItems count="19">
    <i>
      <x v="1"/>
    </i>
    <i r="1">
      <x v="9"/>
    </i>
    <i r="1">
      <x v="10"/>
    </i>
    <i r="1">
      <x v="11"/>
    </i>
    <i r="1">
      <x v="12"/>
    </i>
    <i>
      <x v="2"/>
    </i>
    <i r="1">
      <x v="1"/>
    </i>
    <i r="1">
      <x v="2"/>
    </i>
    <i r="1">
      <x v="3"/>
    </i>
    <i r="1">
      <x v="4"/>
    </i>
    <i r="1">
      <x v="5"/>
    </i>
    <i r="1">
      <x v="6"/>
    </i>
    <i r="1">
      <x v="7"/>
    </i>
    <i r="1">
      <x v="8"/>
    </i>
    <i r="1">
      <x v="9"/>
    </i>
    <i r="1">
      <x v="10"/>
    </i>
    <i r="1">
      <x v="11"/>
    </i>
    <i r="1">
      <x v="12"/>
    </i>
    <i t="grand">
      <x/>
    </i>
  </rowItems>
  <colFields count="2">
    <field x="3"/>
    <field x="2"/>
  </colFields>
  <colItems count="7">
    <i>
      <x/>
      <x/>
    </i>
    <i r="1">
      <x v="1"/>
    </i>
    <i r="1">
      <x v="2"/>
    </i>
    <i r="1">
      <x v="3"/>
    </i>
    <i r="1">
      <x v="4"/>
    </i>
    <i t="default">
      <x/>
    </i>
    <i t="grand">
      <x/>
    </i>
  </colItems>
  <dataFields count="1">
    <dataField name="Sum of Sales" fld="12" baseField="0" baseItem="0"/>
  </dataFields>
  <formats count="6">
    <format dxfId="60">
      <pivotArea type="all" dataOnly="0" outline="0" fieldPosition="0"/>
    </format>
    <format dxfId="59">
      <pivotArea outline="0" collapsedLevelsAreSubtotals="1" fieldPosition="0"/>
    </format>
    <format dxfId="58">
      <pivotArea field="20" type="button" dataOnly="0" labelOnly="1" outline="0" axis="axisRow" fieldPosition="0"/>
    </format>
    <format dxfId="57">
      <pivotArea dataOnly="0" labelOnly="1" fieldPosition="0">
        <references count="1">
          <reference field="20" count="2">
            <x v="1"/>
            <x v="2"/>
          </reference>
        </references>
      </pivotArea>
    </format>
    <format dxfId="56">
      <pivotArea dataOnly="0" labelOnly="1" grandRow="1" outline="0" fieldPosition="0"/>
    </format>
    <format dxfId="55">
      <pivotArea dataOnly="0" labelOnly="1" outline="0" fieldPosition="0">
        <references count="1">
          <reference field="4294967294" count="1">
            <x v="0"/>
          </reference>
        </references>
      </pivotArea>
    </format>
  </formats>
  <chartFormats count="5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3">
          <reference field="4294967294" count="1" selected="0">
            <x v="0"/>
          </reference>
          <reference field="2" count="1" selected="0">
            <x v="0"/>
          </reference>
          <reference field="3" count="1" selected="0">
            <x v="0"/>
          </reference>
        </references>
      </pivotArea>
    </chartFormat>
    <chartFormat chart="12" format="1" series="1">
      <pivotArea type="data" outline="0" fieldPosition="0">
        <references count="3">
          <reference field="4294967294" count="1" selected="0">
            <x v="0"/>
          </reference>
          <reference field="2" count="1" selected="0">
            <x v="1"/>
          </reference>
          <reference field="3" count="1" selected="0">
            <x v="0"/>
          </reference>
        </references>
      </pivotArea>
    </chartFormat>
    <chartFormat chart="12" format="2" series="1">
      <pivotArea type="data" outline="0" fieldPosition="0">
        <references count="3">
          <reference field="4294967294" count="1" selected="0">
            <x v="0"/>
          </reference>
          <reference field="2" count="1" selected="0">
            <x v="2"/>
          </reference>
          <reference field="3" count="1" selected="0">
            <x v="0"/>
          </reference>
        </references>
      </pivotArea>
    </chartFormat>
    <chartFormat chart="12" format="3" series="1">
      <pivotArea type="data" outline="0" fieldPosition="0">
        <references count="3">
          <reference field="4294967294" count="1" selected="0">
            <x v="0"/>
          </reference>
          <reference field="2" count="1" selected="0">
            <x v="3"/>
          </reference>
          <reference field="3" count="1" selected="0">
            <x v="0"/>
          </reference>
        </references>
      </pivotArea>
    </chartFormat>
    <chartFormat chart="12" format="4" series="1">
      <pivotArea type="data" outline="0" fieldPosition="0">
        <references count="3">
          <reference field="4294967294" count="1" selected="0">
            <x v="0"/>
          </reference>
          <reference field="2" count="1" selected="0">
            <x v="4"/>
          </reference>
          <reference field="3" count="1" selected="0">
            <x v="0"/>
          </reference>
        </references>
      </pivotArea>
    </chartFormat>
    <chartFormat chart="12" format="5" series="1">
      <pivotArea type="data" outline="0" fieldPosition="0">
        <references count="3">
          <reference field="4294967294" count="1" selected="0">
            <x v="0"/>
          </reference>
          <reference field="2" count="1" selected="0">
            <x v="0"/>
          </reference>
          <reference field="3" count="1" selected="0">
            <x v="1"/>
          </reference>
        </references>
      </pivotArea>
    </chartFormat>
    <chartFormat chart="12" format="6" series="1">
      <pivotArea type="data" outline="0" fieldPosition="0">
        <references count="3">
          <reference field="4294967294" count="1" selected="0">
            <x v="0"/>
          </reference>
          <reference field="2" count="1" selected="0">
            <x v="1"/>
          </reference>
          <reference field="3" count="1" selected="0">
            <x v="1"/>
          </reference>
        </references>
      </pivotArea>
    </chartFormat>
    <chartFormat chart="12" format="7" series="1">
      <pivotArea type="data" outline="0" fieldPosition="0">
        <references count="3">
          <reference field="4294967294" count="1" selected="0">
            <x v="0"/>
          </reference>
          <reference field="2" count="1" selected="0">
            <x v="2"/>
          </reference>
          <reference field="3" count="1" selected="0">
            <x v="1"/>
          </reference>
        </references>
      </pivotArea>
    </chartFormat>
    <chartFormat chart="12" format="8" series="1">
      <pivotArea type="data" outline="0" fieldPosition="0">
        <references count="3">
          <reference field="4294967294" count="1" selected="0">
            <x v="0"/>
          </reference>
          <reference field="2" count="1" selected="0">
            <x v="3"/>
          </reference>
          <reference field="3" count="1" selected="0">
            <x v="1"/>
          </reference>
        </references>
      </pivotArea>
    </chartFormat>
    <chartFormat chart="12" format="9" series="1">
      <pivotArea type="data" outline="0" fieldPosition="0">
        <references count="3">
          <reference field="4294967294" count="1" selected="0">
            <x v="0"/>
          </reference>
          <reference field="2" count="1" selected="0">
            <x v="4"/>
          </reference>
          <reference field="3" count="1" selected="0">
            <x v="1"/>
          </reference>
        </references>
      </pivotArea>
    </chartFormat>
    <chartFormat chart="12" format="10" series="1">
      <pivotArea type="data" outline="0" fieldPosition="0">
        <references count="3">
          <reference field="4294967294" count="1" selected="0">
            <x v="0"/>
          </reference>
          <reference field="2" count="1" selected="0">
            <x v="0"/>
          </reference>
          <reference field="3" count="1" selected="0">
            <x v="2"/>
          </reference>
        </references>
      </pivotArea>
    </chartFormat>
    <chartFormat chart="12" format="11" series="1">
      <pivotArea type="data" outline="0" fieldPosition="0">
        <references count="3">
          <reference field="4294967294" count="1" selected="0">
            <x v="0"/>
          </reference>
          <reference field="2" count="1" selected="0">
            <x v="1"/>
          </reference>
          <reference field="3" count="1" selected="0">
            <x v="2"/>
          </reference>
        </references>
      </pivotArea>
    </chartFormat>
    <chartFormat chart="12" format="12" series="1">
      <pivotArea type="data" outline="0" fieldPosition="0">
        <references count="3">
          <reference field="4294967294" count="1" selected="0">
            <x v="0"/>
          </reference>
          <reference field="2" count="1" selected="0">
            <x v="2"/>
          </reference>
          <reference field="3" count="1" selected="0">
            <x v="2"/>
          </reference>
        </references>
      </pivotArea>
    </chartFormat>
    <chartFormat chart="12" format="13" series="1">
      <pivotArea type="data" outline="0" fieldPosition="0">
        <references count="3">
          <reference field="4294967294" count="1" selected="0">
            <x v="0"/>
          </reference>
          <reference field="2" count="1" selected="0">
            <x v="3"/>
          </reference>
          <reference field="3" count="1" selected="0">
            <x v="2"/>
          </reference>
        </references>
      </pivotArea>
    </chartFormat>
    <chartFormat chart="12" format="14" series="1">
      <pivotArea type="data" outline="0" fieldPosition="0">
        <references count="3">
          <reference field="4294967294" count="1" selected="0">
            <x v="0"/>
          </reference>
          <reference field="2" count="1" selected="0">
            <x v="4"/>
          </reference>
          <reference field="3" count="1" selected="0">
            <x v="2"/>
          </reference>
        </references>
      </pivotArea>
    </chartFormat>
    <chartFormat chart="12" format="15" series="1">
      <pivotArea type="data" outline="0" fieldPosition="0">
        <references count="3">
          <reference field="4294967294" count="1" selected="0">
            <x v="0"/>
          </reference>
          <reference field="2" count="1" selected="0">
            <x v="0"/>
          </reference>
          <reference field="3" count="1" selected="0">
            <x v="3"/>
          </reference>
        </references>
      </pivotArea>
    </chartFormat>
    <chartFormat chart="12" format="16" series="1">
      <pivotArea type="data" outline="0" fieldPosition="0">
        <references count="3">
          <reference field="4294967294" count="1" selected="0">
            <x v="0"/>
          </reference>
          <reference field="2" count="1" selected="0">
            <x v="1"/>
          </reference>
          <reference field="3" count="1" selected="0">
            <x v="3"/>
          </reference>
        </references>
      </pivotArea>
    </chartFormat>
    <chartFormat chart="12" format="17" series="1">
      <pivotArea type="data" outline="0" fieldPosition="0">
        <references count="3">
          <reference field="4294967294" count="1" selected="0">
            <x v="0"/>
          </reference>
          <reference field="2" count="1" selected="0">
            <x v="2"/>
          </reference>
          <reference field="3" count="1" selected="0">
            <x v="3"/>
          </reference>
        </references>
      </pivotArea>
    </chartFormat>
    <chartFormat chart="12" format="18" series="1">
      <pivotArea type="data" outline="0" fieldPosition="0">
        <references count="3">
          <reference field="4294967294" count="1" selected="0">
            <x v="0"/>
          </reference>
          <reference field="2" count="1" selected="0">
            <x v="3"/>
          </reference>
          <reference field="3" count="1" selected="0">
            <x v="3"/>
          </reference>
        </references>
      </pivotArea>
    </chartFormat>
    <chartFormat chart="12" format="19" series="1">
      <pivotArea type="data" outline="0" fieldPosition="0">
        <references count="3">
          <reference field="4294967294" count="1" selected="0">
            <x v="0"/>
          </reference>
          <reference field="2" count="1" selected="0">
            <x v="4"/>
          </reference>
          <reference field="3" count="1" selected="0">
            <x v="3"/>
          </reference>
        </references>
      </pivotArea>
    </chartFormat>
    <chartFormat chart="12" format="20" series="1">
      <pivotArea type="data" outline="0" fieldPosition="0">
        <references count="3">
          <reference field="4294967294" count="1" selected="0">
            <x v="0"/>
          </reference>
          <reference field="2" count="1" selected="0">
            <x v="0"/>
          </reference>
          <reference field="3" count="1" selected="0">
            <x v="4"/>
          </reference>
        </references>
      </pivotArea>
    </chartFormat>
    <chartFormat chart="12" format="21" series="1">
      <pivotArea type="data" outline="0" fieldPosition="0">
        <references count="3">
          <reference field="4294967294" count="1" selected="0">
            <x v="0"/>
          </reference>
          <reference field="2" count="1" selected="0">
            <x v="1"/>
          </reference>
          <reference field="3" count="1" selected="0">
            <x v="4"/>
          </reference>
        </references>
      </pivotArea>
    </chartFormat>
    <chartFormat chart="12" format="22" series="1">
      <pivotArea type="data" outline="0" fieldPosition="0">
        <references count="3">
          <reference field="4294967294" count="1" selected="0">
            <x v="0"/>
          </reference>
          <reference field="2" count="1" selected="0">
            <x v="2"/>
          </reference>
          <reference field="3" count="1" selected="0">
            <x v="4"/>
          </reference>
        </references>
      </pivotArea>
    </chartFormat>
    <chartFormat chart="12" format="23" series="1">
      <pivotArea type="data" outline="0" fieldPosition="0">
        <references count="3">
          <reference field="4294967294" count="1" selected="0">
            <x v="0"/>
          </reference>
          <reference field="2" count="1" selected="0">
            <x v="3"/>
          </reference>
          <reference field="3" count="1" selected="0">
            <x v="4"/>
          </reference>
        </references>
      </pivotArea>
    </chartFormat>
    <chartFormat chart="12" format="24" series="1">
      <pivotArea type="data" outline="0" fieldPosition="0">
        <references count="3">
          <reference field="4294967294" count="1" selected="0">
            <x v="0"/>
          </reference>
          <reference field="2" count="1" selected="0">
            <x v="4"/>
          </reference>
          <reference field="3" count="1" selected="0">
            <x v="4"/>
          </reference>
        </references>
      </pivotArea>
    </chartFormat>
    <chartFormat chart="14" format="26" series="1">
      <pivotArea type="data" outline="0" fieldPosition="0">
        <references count="3">
          <reference field="4294967294" count="1" selected="0">
            <x v="0"/>
          </reference>
          <reference field="2" count="1" selected="0">
            <x v="0"/>
          </reference>
          <reference field="3" count="1" selected="0">
            <x v="4"/>
          </reference>
        </references>
      </pivotArea>
    </chartFormat>
    <chartFormat chart="14" format="27" series="1">
      <pivotArea type="data" outline="0" fieldPosition="0">
        <references count="3">
          <reference field="4294967294" count="1" selected="0">
            <x v="0"/>
          </reference>
          <reference field="2" count="1" selected="0">
            <x v="0"/>
          </reference>
          <reference field="3" count="1" selected="0">
            <x v="1"/>
          </reference>
        </references>
      </pivotArea>
    </chartFormat>
    <chartFormat chart="14" format="28" series="1">
      <pivotArea type="data" outline="0" fieldPosition="0">
        <references count="3">
          <reference field="4294967294" count="1" selected="0">
            <x v="0"/>
          </reference>
          <reference field="2" count="1" selected="0">
            <x v="0"/>
          </reference>
          <reference field="3" count="1" selected="0">
            <x v="2"/>
          </reference>
        </references>
      </pivotArea>
    </chartFormat>
    <chartFormat chart="14" format="29" series="1">
      <pivotArea type="data" outline="0" fieldPosition="0">
        <references count="3">
          <reference field="4294967294" count="1" selected="0">
            <x v="0"/>
          </reference>
          <reference field="2" count="1" selected="0">
            <x v="0"/>
          </reference>
          <reference field="3" count="1" selected="0">
            <x v="3"/>
          </reference>
        </references>
      </pivotArea>
    </chartFormat>
    <chartFormat chart="14" format="30" series="1">
      <pivotArea type="data" outline="0" fieldPosition="0">
        <references count="3">
          <reference field="4294967294" count="1" selected="0">
            <x v="0"/>
          </reference>
          <reference field="2" count="1" selected="0">
            <x v="0"/>
          </reference>
          <reference field="3" count="1" selected="0">
            <x v="0"/>
          </reference>
        </references>
      </pivotArea>
    </chartFormat>
    <chartFormat chart="14" format="31" series="1">
      <pivotArea type="data" outline="0" fieldPosition="0">
        <references count="3">
          <reference field="4294967294" count="1" selected="0">
            <x v="0"/>
          </reference>
          <reference field="2" count="1" selected="0">
            <x v="1"/>
          </reference>
          <reference field="3" count="1" selected="0">
            <x v="4"/>
          </reference>
        </references>
      </pivotArea>
    </chartFormat>
    <chartFormat chart="14" format="32" series="1">
      <pivotArea type="data" outline="0" fieldPosition="0">
        <references count="3">
          <reference field="4294967294" count="1" selected="0">
            <x v="0"/>
          </reference>
          <reference field="2" count="1" selected="0">
            <x v="2"/>
          </reference>
          <reference field="3" count="1" selected="0">
            <x v="4"/>
          </reference>
        </references>
      </pivotArea>
    </chartFormat>
    <chartFormat chart="14" format="33" series="1">
      <pivotArea type="data" outline="0" fieldPosition="0">
        <references count="3">
          <reference field="4294967294" count="1" selected="0">
            <x v="0"/>
          </reference>
          <reference field="2" count="1" selected="0">
            <x v="3"/>
          </reference>
          <reference field="3" count="1" selected="0">
            <x v="4"/>
          </reference>
        </references>
      </pivotArea>
    </chartFormat>
    <chartFormat chart="14" format="34" series="1">
      <pivotArea type="data" outline="0" fieldPosition="0">
        <references count="3">
          <reference field="4294967294" count="1" selected="0">
            <x v="0"/>
          </reference>
          <reference field="2" count="1" selected="0">
            <x v="4"/>
          </reference>
          <reference field="3" count="1" selected="0">
            <x v="4"/>
          </reference>
        </references>
      </pivotArea>
    </chartFormat>
    <chartFormat chart="15" format="0" series="1">
      <pivotArea type="data" outline="0" fieldPosition="0">
        <references count="3">
          <reference field="4294967294" count="1" selected="0">
            <x v="0"/>
          </reference>
          <reference field="2" count="1" selected="0">
            <x v="0"/>
          </reference>
          <reference field="3" count="1" selected="0">
            <x v="4"/>
          </reference>
        </references>
      </pivotArea>
    </chartFormat>
    <chartFormat chart="15" format="1" series="1">
      <pivotArea type="data" outline="0" fieldPosition="0">
        <references count="3">
          <reference field="4294967294" count="1" selected="0">
            <x v="0"/>
          </reference>
          <reference field="2" count="1" selected="0">
            <x v="1"/>
          </reference>
          <reference field="3" count="1" selected="0">
            <x v="4"/>
          </reference>
        </references>
      </pivotArea>
    </chartFormat>
    <chartFormat chart="15" format="2" series="1">
      <pivotArea type="data" outline="0" fieldPosition="0">
        <references count="3">
          <reference field="4294967294" count="1" selected="0">
            <x v="0"/>
          </reference>
          <reference field="2" count="1" selected="0">
            <x v="2"/>
          </reference>
          <reference field="3" count="1" selected="0">
            <x v="4"/>
          </reference>
        </references>
      </pivotArea>
    </chartFormat>
    <chartFormat chart="15" format="3" series="1">
      <pivotArea type="data" outline="0" fieldPosition="0">
        <references count="3">
          <reference field="4294967294" count="1" selected="0">
            <x v="0"/>
          </reference>
          <reference field="2" count="1" selected="0">
            <x v="3"/>
          </reference>
          <reference field="3" count="1" selected="0">
            <x v="4"/>
          </reference>
        </references>
      </pivotArea>
    </chartFormat>
    <chartFormat chart="15" format="4" series="1">
      <pivotArea type="data" outline="0" fieldPosition="0">
        <references count="3">
          <reference field="4294967294" count="1" selected="0">
            <x v="0"/>
          </reference>
          <reference field="2" count="1" selected="0">
            <x v="4"/>
          </reference>
          <reference field="3" count="1" selected="0">
            <x v="4"/>
          </reference>
        </references>
      </pivotArea>
    </chartFormat>
    <chartFormat chart="15" format="5" series="1">
      <pivotArea type="data" outline="0" fieldPosition="0">
        <references count="3">
          <reference field="4294967294" count="1" selected="0">
            <x v="0"/>
          </reference>
          <reference field="2" count="1" selected="0">
            <x v="0"/>
          </reference>
          <reference field="3" count="1" selected="0">
            <x v="0"/>
          </reference>
        </references>
      </pivotArea>
    </chartFormat>
    <chartFormat chart="15" format="6" series="1">
      <pivotArea type="data" outline="0" fieldPosition="0">
        <references count="3">
          <reference field="4294967294" count="1" selected="0">
            <x v="0"/>
          </reference>
          <reference field="2" count="1" selected="0">
            <x v="1"/>
          </reference>
          <reference field="3" count="1" selected="0">
            <x v="0"/>
          </reference>
        </references>
      </pivotArea>
    </chartFormat>
    <chartFormat chart="15" format="7" series="1">
      <pivotArea type="data" outline="0" fieldPosition="0">
        <references count="3">
          <reference field="4294967294" count="1" selected="0">
            <x v="0"/>
          </reference>
          <reference field="2" count="1" selected="0">
            <x v="2"/>
          </reference>
          <reference field="3" count="1" selected="0">
            <x v="0"/>
          </reference>
        </references>
      </pivotArea>
    </chartFormat>
    <chartFormat chart="15" format="8" series="1">
      <pivotArea type="data" outline="0" fieldPosition="0">
        <references count="3">
          <reference field="4294967294" count="1" selected="0">
            <x v="0"/>
          </reference>
          <reference field="2" count="1" selected="0">
            <x v="3"/>
          </reference>
          <reference field="3" count="1" selected="0">
            <x v="0"/>
          </reference>
        </references>
      </pivotArea>
    </chartFormat>
    <chartFormat chart="15" format="9" series="1">
      <pivotArea type="data" outline="0" fieldPosition="0">
        <references count="3">
          <reference field="4294967294" count="1" selected="0">
            <x v="0"/>
          </reference>
          <reference field="2" count="1" selected="0">
            <x v="4"/>
          </reference>
          <reference field="3" count="1" selected="0">
            <x v="0"/>
          </reference>
        </references>
      </pivotArea>
    </chartFormat>
    <chartFormat chart="19" format="25" series="1">
      <pivotArea type="data" outline="0" fieldPosition="0">
        <references count="3">
          <reference field="4294967294" count="1" selected="0">
            <x v="0"/>
          </reference>
          <reference field="2" count="1" selected="0">
            <x v="0"/>
          </reference>
          <reference field="3" count="1" selected="0">
            <x v="0"/>
          </reference>
        </references>
      </pivotArea>
    </chartFormat>
    <chartFormat chart="19" format="26" series="1">
      <pivotArea type="data" outline="0" fieldPosition="0">
        <references count="3">
          <reference field="4294967294" count="1" selected="0">
            <x v="0"/>
          </reference>
          <reference field="2" count="1" selected="0">
            <x v="1"/>
          </reference>
          <reference field="3" count="1" selected="0">
            <x v="0"/>
          </reference>
        </references>
      </pivotArea>
    </chartFormat>
    <chartFormat chart="19" format="27" series="1">
      <pivotArea type="data" outline="0" fieldPosition="0">
        <references count="3">
          <reference field="4294967294" count="1" selected="0">
            <x v="0"/>
          </reference>
          <reference field="2" count="1" selected="0">
            <x v="2"/>
          </reference>
          <reference field="3" count="1" selected="0">
            <x v="0"/>
          </reference>
        </references>
      </pivotArea>
    </chartFormat>
    <chartFormat chart="19" format="28" series="1">
      <pivotArea type="data" outline="0" fieldPosition="0">
        <references count="3">
          <reference field="4294967294" count="1" selected="0">
            <x v="0"/>
          </reference>
          <reference field="2" count="1" selected="0">
            <x v="3"/>
          </reference>
          <reference field="3" count="1" selected="0">
            <x v="0"/>
          </reference>
        </references>
      </pivotArea>
    </chartFormat>
    <chartFormat chart="19" format="29" series="1">
      <pivotArea type="data" outline="0" fieldPosition="0">
        <references count="3">
          <reference field="4294967294" count="1" selected="0">
            <x v="0"/>
          </reference>
          <reference field="2" count="1" selected="0">
            <x v="4"/>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A84C257-3504-43AF-A516-AC3DDC580EE7}" name="TimeProfitProfitRaio"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468:C487" firstHeaderRow="0" firstDataRow="1" firstDataCol="1"/>
  <pivotFields count="21">
    <pivotField axis="axisRow"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showAll="0">
      <items count="6">
        <item x="0"/>
        <item x="1"/>
        <item x="2"/>
        <item x="3"/>
        <item x="4"/>
        <item t="default"/>
      </items>
    </pivotField>
    <pivotField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sortType="descending">
      <autoSortScope>
        <pivotArea dataOnly="0" outline="0" fieldPosition="0">
          <references count="1">
            <reference field="4294967294" count="1" selected="0">
              <x v="0"/>
            </reference>
          </references>
        </pivotArea>
      </autoSortScope>
    </pivotField>
    <pivotField numFmtId="166" showAll="0"/>
    <pivotField dataField="1" numFmtId="166" showAll="0"/>
    <pivotField showAll="0"/>
    <pivotField dataField="1" numFmtId="166" showAll="0"/>
    <pivotField showAll="0"/>
    <pivotField numFmtId="169" showAll="0"/>
    <pivotField numFmtId="169"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0"/>
    <field x="0"/>
  </rowFields>
  <rowItems count="19">
    <i>
      <x v="1"/>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Profit" fld="13" baseField="0" baseItem="0"/>
    <dataField name="Average of Profit Ratio" fld="15" subtotal="average" baseField="20" baseItem="1" numFmtId="9"/>
  </dataFields>
  <formats count="1">
    <format dxfId="61">
      <pivotArea outline="0" collapsedLevelsAreSubtotals="1" fieldPosition="0">
        <references count="1">
          <reference field="4294967294" count="1" selected="0">
            <x v="1"/>
          </reference>
        </references>
      </pivotArea>
    </format>
  </formats>
  <chartFormats count="6">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706C9EB-454E-48E4-8C58-98EF088E447F}" name="SalesProduct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341:H348" firstHeaderRow="1" firstDataRow="2" firstDataCol="1"/>
  <pivotFields count="21">
    <pivotField numFmtId="14" showAll="0">
      <items count="15">
        <item x="0"/>
        <item x="1"/>
        <item x="2"/>
        <item x="3"/>
        <item x="4"/>
        <item x="5"/>
        <item x="6"/>
        <item x="7"/>
        <item x="8"/>
        <item x="9"/>
        <item x="10"/>
        <item x="11"/>
        <item x="12"/>
        <item x="13"/>
        <item t="default"/>
      </items>
    </pivotField>
    <pivotField axis="axisCol" showAll="0">
      <items count="7">
        <item x="1"/>
        <item x="2"/>
        <item x="3"/>
        <item x="0"/>
        <item x="4"/>
        <item x="5"/>
        <item t="default"/>
      </items>
    </pivotField>
    <pivotField showAll="0"/>
    <pivotField axis="axisRow" showAll="0">
      <items count="6">
        <item x="4"/>
        <item x="3"/>
        <item x="2"/>
        <item x="1"/>
        <item x="0"/>
        <item t="default"/>
      </items>
    </pivotField>
    <pivotField showAll="0"/>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i>
    <i>
      <x v="1"/>
    </i>
    <i>
      <x v="2"/>
    </i>
    <i>
      <x v="3"/>
    </i>
    <i>
      <x v="4"/>
    </i>
    <i t="grand">
      <x/>
    </i>
  </rowItems>
  <colFields count="1">
    <field x="1"/>
  </colFields>
  <colItems count="7">
    <i>
      <x/>
    </i>
    <i>
      <x v="1"/>
    </i>
    <i>
      <x v="2"/>
    </i>
    <i>
      <x v="3"/>
    </i>
    <i>
      <x v="4"/>
    </i>
    <i>
      <x v="5"/>
    </i>
    <i t="grand">
      <x/>
    </i>
  </colItems>
  <dataFields count="1">
    <dataField name="Sum of Sales" fld="12" baseField="0" baseItem="0"/>
  </dataFields>
  <formats count="2">
    <format dxfId="63">
      <pivotArea collapsedLevelsAreSubtotals="1" fieldPosition="0">
        <references count="1">
          <reference field="3" count="0"/>
        </references>
      </pivotArea>
    </format>
    <format dxfId="62">
      <pivotArea dataOnly="0" labelOnly="1" fieldPosition="0">
        <references count="1">
          <reference field="3" count="0"/>
        </references>
      </pivotArea>
    </format>
  </formats>
  <chartFormats count="6">
    <chartFormat chart="17" format="0" series="1">
      <pivotArea type="data" outline="0" fieldPosition="0">
        <references count="2">
          <reference field="4294967294" count="1" selected="0">
            <x v="0"/>
          </reference>
          <reference field="1" count="1" selected="0">
            <x v="0"/>
          </reference>
        </references>
      </pivotArea>
    </chartFormat>
    <chartFormat chart="17" format="1" series="1">
      <pivotArea type="data" outline="0" fieldPosition="0">
        <references count="2">
          <reference field="4294967294" count="1" selected="0">
            <x v="0"/>
          </reference>
          <reference field="1" count="1" selected="0">
            <x v="1"/>
          </reference>
        </references>
      </pivotArea>
    </chartFormat>
    <chartFormat chart="17" format="2" series="1">
      <pivotArea type="data" outline="0" fieldPosition="0">
        <references count="2">
          <reference field="4294967294" count="1" selected="0">
            <x v="0"/>
          </reference>
          <reference field="1" count="1" selected="0">
            <x v="2"/>
          </reference>
        </references>
      </pivotArea>
    </chartFormat>
    <chartFormat chart="17" format="3" series="1">
      <pivotArea type="data" outline="0" fieldPosition="0">
        <references count="2">
          <reference field="4294967294" count="1" selected="0">
            <x v="0"/>
          </reference>
          <reference field="1" count="1" selected="0">
            <x v="3"/>
          </reference>
        </references>
      </pivotArea>
    </chartFormat>
    <chartFormat chart="17" format="4" series="1">
      <pivotArea type="data" outline="0" fieldPosition="0">
        <references count="2">
          <reference field="4294967294" count="1" selected="0">
            <x v="0"/>
          </reference>
          <reference field="1" count="1" selected="0">
            <x v="4"/>
          </reference>
        </references>
      </pivotArea>
    </chartFormat>
    <chartFormat chart="17" format="5"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A2CE173-D4D4-4344-8B50-63FB5528D54E}" name="Sales by Marke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6" firstHeaderRow="1" firstDataRow="1" firstDataCol="1"/>
  <pivotFields count="21">
    <pivotField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showAll="0">
      <items count="6">
        <item x="0"/>
        <item x="1"/>
        <item x="2"/>
        <item x="3"/>
        <item x="4"/>
        <item t="default"/>
      </items>
    </pivotField>
    <pivotField showAll="0">
      <items count="6">
        <item x="4"/>
        <item x="3"/>
        <item x="2"/>
        <item x="1"/>
        <item x="0"/>
        <item t="default"/>
      </items>
    </pivotField>
    <pivotField axis="axisRow"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4"/>
  </rowFields>
  <rowItems count="3">
    <i>
      <x/>
    </i>
    <i>
      <x v="1"/>
    </i>
    <i t="grand">
      <x/>
    </i>
  </rowItems>
  <colItems count="1">
    <i/>
  </colItems>
  <dataFields count="1">
    <dataField name="Sum of Sales" fld="12" baseField="0" baseItem="0"/>
  </dataField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4" count="1" selected="0">
            <x v="0"/>
          </reference>
        </references>
      </pivotArea>
    </chartFormat>
    <chartFormat chart="2" format="6">
      <pivotArea type="data" outline="0" fieldPosition="0">
        <references count="2">
          <reference field="4294967294" count="1" selected="0">
            <x v="0"/>
          </reference>
          <reference field="4" count="1" selected="0">
            <x v="1"/>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4" count="1" selected="0">
            <x v="0"/>
          </reference>
        </references>
      </pivotArea>
    </chartFormat>
    <chartFormat chart="6" format="14">
      <pivotArea type="data" outline="0" fieldPosition="0">
        <references count="2">
          <reference field="4294967294" count="1" selected="0">
            <x v="0"/>
          </reference>
          <reference field="4" count="1" selected="0">
            <x v="1"/>
          </reference>
        </references>
      </pivotArea>
    </chartFormat>
    <chartFormat chart="12" format="18" series="1">
      <pivotArea type="data" outline="0" fieldPosition="0">
        <references count="1">
          <reference field="4294967294" count="1" selected="0">
            <x v="0"/>
          </reference>
        </references>
      </pivotArea>
    </chartFormat>
    <chartFormat chart="12" format="19">
      <pivotArea type="data" outline="0" fieldPosition="0">
        <references count="2">
          <reference field="4294967294" count="1" selected="0">
            <x v="0"/>
          </reference>
          <reference field="4" count="1" selected="0">
            <x v="0"/>
          </reference>
        </references>
      </pivotArea>
    </chartFormat>
    <chartFormat chart="12" format="20">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49B9E82-15DB-43B3-9AAF-3E406D359E58}" name="Sales by Produc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2">
  <location ref="A91:B98" firstHeaderRow="1" firstDataRow="1" firstDataCol="1"/>
  <pivotFields count="21">
    <pivotField numFmtId="14" showAll="0">
      <items count="15">
        <item x="0"/>
        <item x="1"/>
        <item x="2"/>
        <item x="3"/>
        <item x="4"/>
        <item x="5"/>
        <item x="6"/>
        <item x="7"/>
        <item x="8"/>
        <item x="9"/>
        <item x="10"/>
        <item x="11"/>
        <item x="12"/>
        <item x="13"/>
        <item t="default"/>
      </items>
    </pivotField>
    <pivotField axis="axisRow" showAll="0" sortType="descending">
      <items count="7">
        <item x="1"/>
        <item x="2"/>
        <item x="3"/>
        <item x="0"/>
        <item x="4"/>
        <item x="5"/>
        <item t="default"/>
      </items>
      <autoSortScope>
        <pivotArea dataOnly="0" outline="0" fieldPosition="0">
          <references count="1">
            <reference field="4294967294" count="1" selected="0">
              <x v="0"/>
            </reference>
          </references>
        </pivotArea>
      </autoSortScope>
    </pivotField>
    <pivotField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1"/>
  </rowFields>
  <rowItems count="7">
    <i>
      <x v="3"/>
    </i>
    <i>
      <x v="5"/>
    </i>
    <i>
      <x v="4"/>
    </i>
    <i>
      <x/>
    </i>
    <i>
      <x v="2"/>
    </i>
    <i>
      <x v="1"/>
    </i>
    <i t="grand">
      <x/>
    </i>
  </rowItems>
  <colItems count="1">
    <i/>
  </colItems>
  <dataFields count="1">
    <dataField name="Sum of Sales" fld="12" baseField="0" baseItem="0"/>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9"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26F77DA-67CA-4F9A-9A4A-3C4E8B9C12D8}" name="Germany_Seg_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716:H737" firstHeaderRow="1" firstDataRow="3" firstDataCol="1"/>
  <pivotFields count="21">
    <pivotField axis="axisRow"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axis="axisCol" showAll="0">
      <items count="6">
        <item x="0"/>
        <item x="1"/>
        <item x="2"/>
        <item x="3"/>
        <item x="4"/>
        <item t="default"/>
      </items>
    </pivotField>
    <pivotField axis="axisCol" showAll="0">
      <items count="6">
        <item h="1" x="4"/>
        <item h="1" x="3"/>
        <item x="2"/>
        <item h="1" x="1"/>
        <item h="1" x="0"/>
        <item t="default"/>
      </items>
    </pivotField>
    <pivotField showAll="0"/>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0"/>
    <field x="0"/>
  </rowFields>
  <rowItems count="19">
    <i>
      <x v="1"/>
    </i>
    <i r="1">
      <x v="9"/>
    </i>
    <i r="1">
      <x v="10"/>
    </i>
    <i r="1">
      <x v="11"/>
    </i>
    <i r="1">
      <x v="12"/>
    </i>
    <i>
      <x v="2"/>
    </i>
    <i r="1">
      <x v="1"/>
    </i>
    <i r="1">
      <x v="2"/>
    </i>
    <i r="1">
      <x v="3"/>
    </i>
    <i r="1">
      <x v="4"/>
    </i>
    <i r="1">
      <x v="5"/>
    </i>
    <i r="1">
      <x v="6"/>
    </i>
    <i r="1">
      <x v="7"/>
    </i>
    <i r="1">
      <x v="8"/>
    </i>
    <i r="1">
      <x v="9"/>
    </i>
    <i r="1">
      <x v="10"/>
    </i>
    <i r="1">
      <x v="11"/>
    </i>
    <i r="1">
      <x v="12"/>
    </i>
    <i t="grand">
      <x/>
    </i>
  </rowItems>
  <colFields count="2">
    <field x="3"/>
    <field x="2"/>
  </colFields>
  <colItems count="7">
    <i>
      <x v="2"/>
      <x/>
    </i>
    <i r="1">
      <x v="1"/>
    </i>
    <i r="1">
      <x v="2"/>
    </i>
    <i r="1">
      <x v="3"/>
    </i>
    <i r="1">
      <x v="4"/>
    </i>
    <i t="default">
      <x v="2"/>
    </i>
    <i t="grand">
      <x/>
    </i>
  </colItems>
  <dataFields count="1">
    <dataField name="Sum of Sales" fld="12" baseField="0" baseItem="0"/>
  </dataFields>
  <formats count="6">
    <format dxfId="69">
      <pivotArea type="all" dataOnly="0" outline="0" fieldPosition="0"/>
    </format>
    <format dxfId="68">
      <pivotArea outline="0" collapsedLevelsAreSubtotals="1" fieldPosition="0"/>
    </format>
    <format dxfId="67">
      <pivotArea field="20" type="button" dataOnly="0" labelOnly="1" outline="0" axis="axisRow" fieldPosition="0"/>
    </format>
    <format dxfId="66">
      <pivotArea dataOnly="0" labelOnly="1" fieldPosition="0">
        <references count="1">
          <reference field="20" count="2">
            <x v="1"/>
            <x v="2"/>
          </reference>
        </references>
      </pivotArea>
    </format>
    <format dxfId="65">
      <pivotArea dataOnly="0" labelOnly="1" grandRow="1" outline="0" fieldPosition="0"/>
    </format>
    <format dxfId="64">
      <pivotArea dataOnly="0" labelOnly="1" outline="0" fieldPosition="0">
        <references count="1">
          <reference field="4294967294" count="1">
            <x v="0"/>
          </reference>
        </references>
      </pivotArea>
    </format>
  </formats>
  <chartFormats count="7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3">
          <reference field="4294967294" count="1" selected="0">
            <x v="0"/>
          </reference>
          <reference field="2" count="1" selected="0">
            <x v="0"/>
          </reference>
          <reference field="3" count="1" selected="0">
            <x v="0"/>
          </reference>
        </references>
      </pivotArea>
    </chartFormat>
    <chartFormat chart="12" format="1" series="1">
      <pivotArea type="data" outline="0" fieldPosition="0">
        <references count="3">
          <reference field="4294967294" count="1" selected="0">
            <x v="0"/>
          </reference>
          <reference field="2" count="1" selected="0">
            <x v="1"/>
          </reference>
          <reference field="3" count="1" selected="0">
            <x v="0"/>
          </reference>
        </references>
      </pivotArea>
    </chartFormat>
    <chartFormat chart="12" format="2" series="1">
      <pivotArea type="data" outline="0" fieldPosition="0">
        <references count="3">
          <reference field="4294967294" count="1" selected="0">
            <x v="0"/>
          </reference>
          <reference field="2" count="1" selected="0">
            <x v="2"/>
          </reference>
          <reference field="3" count="1" selected="0">
            <x v="0"/>
          </reference>
        </references>
      </pivotArea>
    </chartFormat>
    <chartFormat chart="12" format="3" series="1">
      <pivotArea type="data" outline="0" fieldPosition="0">
        <references count="3">
          <reference field="4294967294" count="1" selected="0">
            <x v="0"/>
          </reference>
          <reference field="2" count="1" selected="0">
            <x v="3"/>
          </reference>
          <reference field="3" count="1" selected="0">
            <x v="0"/>
          </reference>
        </references>
      </pivotArea>
    </chartFormat>
    <chartFormat chart="12" format="4" series="1">
      <pivotArea type="data" outline="0" fieldPosition="0">
        <references count="3">
          <reference field="4294967294" count="1" selected="0">
            <x v="0"/>
          </reference>
          <reference field="2" count="1" selected="0">
            <x v="4"/>
          </reference>
          <reference field="3" count="1" selected="0">
            <x v="0"/>
          </reference>
        </references>
      </pivotArea>
    </chartFormat>
    <chartFormat chart="12" format="5" series="1">
      <pivotArea type="data" outline="0" fieldPosition="0">
        <references count="3">
          <reference field="4294967294" count="1" selected="0">
            <x v="0"/>
          </reference>
          <reference field="2" count="1" selected="0">
            <x v="0"/>
          </reference>
          <reference field="3" count="1" selected="0">
            <x v="1"/>
          </reference>
        </references>
      </pivotArea>
    </chartFormat>
    <chartFormat chart="12" format="6" series="1">
      <pivotArea type="data" outline="0" fieldPosition="0">
        <references count="3">
          <reference field="4294967294" count="1" selected="0">
            <x v="0"/>
          </reference>
          <reference field="2" count="1" selected="0">
            <x v="1"/>
          </reference>
          <reference field="3" count="1" selected="0">
            <x v="1"/>
          </reference>
        </references>
      </pivotArea>
    </chartFormat>
    <chartFormat chart="12" format="7" series="1">
      <pivotArea type="data" outline="0" fieldPosition="0">
        <references count="3">
          <reference field="4294967294" count="1" selected="0">
            <x v="0"/>
          </reference>
          <reference field="2" count="1" selected="0">
            <x v="2"/>
          </reference>
          <reference field="3" count="1" selected="0">
            <x v="1"/>
          </reference>
        </references>
      </pivotArea>
    </chartFormat>
    <chartFormat chart="12" format="8" series="1">
      <pivotArea type="data" outline="0" fieldPosition="0">
        <references count="3">
          <reference field="4294967294" count="1" selected="0">
            <x v="0"/>
          </reference>
          <reference field="2" count="1" selected="0">
            <x v="3"/>
          </reference>
          <reference field="3" count="1" selected="0">
            <x v="1"/>
          </reference>
        </references>
      </pivotArea>
    </chartFormat>
    <chartFormat chart="12" format="9" series="1">
      <pivotArea type="data" outline="0" fieldPosition="0">
        <references count="3">
          <reference field="4294967294" count="1" selected="0">
            <x v="0"/>
          </reference>
          <reference field="2" count="1" selected="0">
            <x v="4"/>
          </reference>
          <reference field="3" count="1" selected="0">
            <x v="1"/>
          </reference>
        </references>
      </pivotArea>
    </chartFormat>
    <chartFormat chart="12" format="10" series="1">
      <pivotArea type="data" outline="0" fieldPosition="0">
        <references count="3">
          <reference field="4294967294" count="1" selected="0">
            <x v="0"/>
          </reference>
          <reference field="2" count="1" selected="0">
            <x v="0"/>
          </reference>
          <reference field="3" count="1" selected="0">
            <x v="2"/>
          </reference>
        </references>
      </pivotArea>
    </chartFormat>
    <chartFormat chart="12" format="11" series="1">
      <pivotArea type="data" outline="0" fieldPosition="0">
        <references count="3">
          <reference field="4294967294" count="1" selected="0">
            <x v="0"/>
          </reference>
          <reference field="2" count="1" selected="0">
            <x v="1"/>
          </reference>
          <reference field="3" count="1" selected="0">
            <x v="2"/>
          </reference>
        </references>
      </pivotArea>
    </chartFormat>
    <chartFormat chart="12" format="12" series="1">
      <pivotArea type="data" outline="0" fieldPosition="0">
        <references count="3">
          <reference field="4294967294" count="1" selected="0">
            <x v="0"/>
          </reference>
          <reference field="2" count="1" selected="0">
            <x v="2"/>
          </reference>
          <reference field="3" count="1" selected="0">
            <x v="2"/>
          </reference>
        </references>
      </pivotArea>
    </chartFormat>
    <chartFormat chart="12" format="13" series="1">
      <pivotArea type="data" outline="0" fieldPosition="0">
        <references count="3">
          <reference field="4294967294" count="1" selected="0">
            <x v="0"/>
          </reference>
          <reference field="2" count="1" selected="0">
            <x v="3"/>
          </reference>
          <reference field="3" count="1" selected="0">
            <x v="2"/>
          </reference>
        </references>
      </pivotArea>
    </chartFormat>
    <chartFormat chart="12" format="14" series="1">
      <pivotArea type="data" outline="0" fieldPosition="0">
        <references count="3">
          <reference field="4294967294" count="1" selected="0">
            <x v="0"/>
          </reference>
          <reference field="2" count="1" selected="0">
            <x v="4"/>
          </reference>
          <reference field="3" count="1" selected="0">
            <x v="2"/>
          </reference>
        </references>
      </pivotArea>
    </chartFormat>
    <chartFormat chart="12" format="15" series="1">
      <pivotArea type="data" outline="0" fieldPosition="0">
        <references count="3">
          <reference field="4294967294" count="1" selected="0">
            <x v="0"/>
          </reference>
          <reference field="2" count="1" selected="0">
            <x v="0"/>
          </reference>
          <reference field="3" count="1" selected="0">
            <x v="3"/>
          </reference>
        </references>
      </pivotArea>
    </chartFormat>
    <chartFormat chart="12" format="16" series="1">
      <pivotArea type="data" outline="0" fieldPosition="0">
        <references count="3">
          <reference field="4294967294" count="1" selected="0">
            <x v="0"/>
          </reference>
          <reference field="2" count="1" selected="0">
            <x v="1"/>
          </reference>
          <reference field="3" count="1" selected="0">
            <x v="3"/>
          </reference>
        </references>
      </pivotArea>
    </chartFormat>
    <chartFormat chart="12" format="17" series="1">
      <pivotArea type="data" outline="0" fieldPosition="0">
        <references count="3">
          <reference field="4294967294" count="1" selected="0">
            <x v="0"/>
          </reference>
          <reference field="2" count="1" selected="0">
            <x v="2"/>
          </reference>
          <reference field="3" count="1" selected="0">
            <x v="3"/>
          </reference>
        </references>
      </pivotArea>
    </chartFormat>
    <chartFormat chart="12" format="18" series="1">
      <pivotArea type="data" outline="0" fieldPosition="0">
        <references count="3">
          <reference field="4294967294" count="1" selected="0">
            <x v="0"/>
          </reference>
          <reference field="2" count="1" selected="0">
            <x v="3"/>
          </reference>
          <reference field="3" count="1" selected="0">
            <x v="3"/>
          </reference>
        </references>
      </pivotArea>
    </chartFormat>
    <chartFormat chart="12" format="19" series="1">
      <pivotArea type="data" outline="0" fieldPosition="0">
        <references count="3">
          <reference field="4294967294" count="1" selected="0">
            <x v="0"/>
          </reference>
          <reference field="2" count="1" selected="0">
            <x v="4"/>
          </reference>
          <reference field="3" count="1" selected="0">
            <x v="3"/>
          </reference>
        </references>
      </pivotArea>
    </chartFormat>
    <chartFormat chart="12" format="20" series="1">
      <pivotArea type="data" outline="0" fieldPosition="0">
        <references count="3">
          <reference field="4294967294" count="1" selected="0">
            <x v="0"/>
          </reference>
          <reference field="2" count="1" selected="0">
            <x v="0"/>
          </reference>
          <reference field="3" count="1" selected="0">
            <x v="4"/>
          </reference>
        </references>
      </pivotArea>
    </chartFormat>
    <chartFormat chart="12" format="21" series="1">
      <pivotArea type="data" outline="0" fieldPosition="0">
        <references count="3">
          <reference field="4294967294" count="1" selected="0">
            <x v="0"/>
          </reference>
          <reference field="2" count="1" selected="0">
            <x v="1"/>
          </reference>
          <reference field="3" count="1" selected="0">
            <x v="4"/>
          </reference>
        </references>
      </pivotArea>
    </chartFormat>
    <chartFormat chart="12" format="22" series="1">
      <pivotArea type="data" outline="0" fieldPosition="0">
        <references count="3">
          <reference field="4294967294" count="1" selected="0">
            <x v="0"/>
          </reference>
          <reference field="2" count="1" selected="0">
            <x v="2"/>
          </reference>
          <reference field="3" count="1" selected="0">
            <x v="4"/>
          </reference>
        </references>
      </pivotArea>
    </chartFormat>
    <chartFormat chart="12" format="23" series="1">
      <pivotArea type="data" outline="0" fieldPosition="0">
        <references count="3">
          <reference field="4294967294" count="1" selected="0">
            <x v="0"/>
          </reference>
          <reference field="2" count="1" selected="0">
            <x v="3"/>
          </reference>
          <reference field="3" count="1" selected="0">
            <x v="4"/>
          </reference>
        </references>
      </pivotArea>
    </chartFormat>
    <chartFormat chart="12" format="24" series="1">
      <pivotArea type="data" outline="0" fieldPosition="0">
        <references count="3">
          <reference field="4294967294" count="1" selected="0">
            <x v="0"/>
          </reference>
          <reference field="2" count="1" selected="0">
            <x v="4"/>
          </reference>
          <reference field="3" count="1" selected="0">
            <x v="4"/>
          </reference>
        </references>
      </pivotArea>
    </chartFormat>
    <chartFormat chart="14" format="26" series="1">
      <pivotArea type="data" outline="0" fieldPosition="0">
        <references count="3">
          <reference field="4294967294" count="1" selected="0">
            <x v="0"/>
          </reference>
          <reference field="2" count="1" selected="0">
            <x v="0"/>
          </reference>
          <reference field="3" count="1" selected="0">
            <x v="4"/>
          </reference>
        </references>
      </pivotArea>
    </chartFormat>
    <chartFormat chart="14" format="27" series="1">
      <pivotArea type="data" outline="0" fieldPosition="0">
        <references count="3">
          <reference field="4294967294" count="1" selected="0">
            <x v="0"/>
          </reference>
          <reference field="2" count="1" selected="0">
            <x v="0"/>
          </reference>
          <reference field="3" count="1" selected="0">
            <x v="1"/>
          </reference>
        </references>
      </pivotArea>
    </chartFormat>
    <chartFormat chart="14" format="28" series="1">
      <pivotArea type="data" outline="0" fieldPosition="0">
        <references count="3">
          <reference field="4294967294" count="1" selected="0">
            <x v="0"/>
          </reference>
          <reference field="2" count="1" selected="0">
            <x v="0"/>
          </reference>
          <reference field="3" count="1" selected="0">
            <x v="2"/>
          </reference>
        </references>
      </pivotArea>
    </chartFormat>
    <chartFormat chart="14" format="29" series="1">
      <pivotArea type="data" outline="0" fieldPosition="0">
        <references count="3">
          <reference field="4294967294" count="1" selected="0">
            <x v="0"/>
          </reference>
          <reference field="2" count="1" selected="0">
            <x v="0"/>
          </reference>
          <reference field="3" count="1" selected="0">
            <x v="3"/>
          </reference>
        </references>
      </pivotArea>
    </chartFormat>
    <chartFormat chart="14" format="30" series="1">
      <pivotArea type="data" outline="0" fieldPosition="0">
        <references count="3">
          <reference field="4294967294" count="1" selected="0">
            <x v="0"/>
          </reference>
          <reference field="2" count="1" selected="0">
            <x v="0"/>
          </reference>
          <reference field="3" count="1" selected="0">
            <x v="0"/>
          </reference>
        </references>
      </pivotArea>
    </chartFormat>
    <chartFormat chart="14" format="31" series="1">
      <pivotArea type="data" outline="0" fieldPosition="0">
        <references count="3">
          <reference field="4294967294" count="1" selected="0">
            <x v="0"/>
          </reference>
          <reference field="2" count="1" selected="0">
            <x v="1"/>
          </reference>
          <reference field="3" count="1" selected="0">
            <x v="4"/>
          </reference>
        </references>
      </pivotArea>
    </chartFormat>
    <chartFormat chart="14" format="32" series="1">
      <pivotArea type="data" outline="0" fieldPosition="0">
        <references count="3">
          <reference field="4294967294" count="1" selected="0">
            <x v="0"/>
          </reference>
          <reference field="2" count="1" selected="0">
            <x v="2"/>
          </reference>
          <reference field="3" count="1" selected="0">
            <x v="4"/>
          </reference>
        </references>
      </pivotArea>
    </chartFormat>
    <chartFormat chart="14" format="33" series="1">
      <pivotArea type="data" outline="0" fieldPosition="0">
        <references count="3">
          <reference field="4294967294" count="1" selected="0">
            <x v="0"/>
          </reference>
          <reference field="2" count="1" selected="0">
            <x v="3"/>
          </reference>
          <reference field="3" count="1" selected="0">
            <x v="4"/>
          </reference>
        </references>
      </pivotArea>
    </chartFormat>
    <chartFormat chart="14" format="34" series="1">
      <pivotArea type="data" outline="0" fieldPosition="0">
        <references count="3">
          <reference field="4294967294" count="1" selected="0">
            <x v="0"/>
          </reference>
          <reference field="2" count="1" selected="0">
            <x v="4"/>
          </reference>
          <reference field="3" count="1" selected="0">
            <x v="4"/>
          </reference>
        </references>
      </pivotArea>
    </chartFormat>
    <chartFormat chart="15" format="0" series="1">
      <pivotArea type="data" outline="0" fieldPosition="0">
        <references count="3">
          <reference field="4294967294" count="1" selected="0">
            <x v="0"/>
          </reference>
          <reference field="2" count="1" selected="0">
            <x v="0"/>
          </reference>
          <reference field="3" count="1" selected="0">
            <x v="4"/>
          </reference>
        </references>
      </pivotArea>
    </chartFormat>
    <chartFormat chart="15" format="1" series="1">
      <pivotArea type="data" outline="0" fieldPosition="0">
        <references count="3">
          <reference field="4294967294" count="1" selected="0">
            <x v="0"/>
          </reference>
          <reference field="2" count="1" selected="0">
            <x v="1"/>
          </reference>
          <reference field="3" count="1" selected="0">
            <x v="4"/>
          </reference>
        </references>
      </pivotArea>
    </chartFormat>
    <chartFormat chart="15" format="2" series="1">
      <pivotArea type="data" outline="0" fieldPosition="0">
        <references count="3">
          <reference field="4294967294" count="1" selected="0">
            <x v="0"/>
          </reference>
          <reference field="2" count="1" selected="0">
            <x v="2"/>
          </reference>
          <reference field="3" count="1" selected="0">
            <x v="4"/>
          </reference>
        </references>
      </pivotArea>
    </chartFormat>
    <chartFormat chart="15" format="3" series="1">
      <pivotArea type="data" outline="0" fieldPosition="0">
        <references count="3">
          <reference field="4294967294" count="1" selected="0">
            <x v="0"/>
          </reference>
          <reference field="2" count="1" selected="0">
            <x v="3"/>
          </reference>
          <reference field="3" count="1" selected="0">
            <x v="4"/>
          </reference>
        </references>
      </pivotArea>
    </chartFormat>
    <chartFormat chart="15" format="4" series="1">
      <pivotArea type="data" outline="0" fieldPosition="0">
        <references count="3">
          <reference field="4294967294" count="1" selected="0">
            <x v="0"/>
          </reference>
          <reference field="2" count="1" selected="0">
            <x v="4"/>
          </reference>
          <reference field="3" count="1" selected="0">
            <x v="4"/>
          </reference>
        </references>
      </pivotArea>
    </chartFormat>
    <chartFormat chart="15" format="5" series="1">
      <pivotArea type="data" outline="0" fieldPosition="0">
        <references count="3">
          <reference field="4294967294" count="1" selected="0">
            <x v="0"/>
          </reference>
          <reference field="2" count="1" selected="0">
            <x v="0"/>
          </reference>
          <reference field="3" count="1" selected="0">
            <x v="0"/>
          </reference>
        </references>
      </pivotArea>
    </chartFormat>
    <chartFormat chart="15" format="6" series="1">
      <pivotArea type="data" outline="0" fieldPosition="0">
        <references count="3">
          <reference field="4294967294" count="1" selected="0">
            <x v="0"/>
          </reference>
          <reference field="2" count="1" selected="0">
            <x v="1"/>
          </reference>
          <reference field="3" count="1" selected="0">
            <x v="0"/>
          </reference>
        </references>
      </pivotArea>
    </chartFormat>
    <chartFormat chart="15" format="7" series="1">
      <pivotArea type="data" outline="0" fieldPosition="0">
        <references count="3">
          <reference field="4294967294" count="1" selected="0">
            <x v="0"/>
          </reference>
          <reference field="2" count="1" selected="0">
            <x v="2"/>
          </reference>
          <reference field="3" count="1" selected="0">
            <x v="0"/>
          </reference>
        </references>
      </pivotArea>
    </chartFormat>
    <chartFormat chart="15" format="8" series="1">
      <pivotArea type="data" outline="0" fieldPosition="0">
        <references count="3">
          <reference field="4294967294" count="1" selected="0">
            <x v="0"/>
          </reference>
          <reference field="2" count="1" selected="0">
            <x v="3"/>
          </reference>
          <reference field="3" count="1" selected="0">
            <x v="0"/>
          </reference>
        </references>
      </pivotArea>
    </chartFormat>
    <chartFormat chart="15" format="9" series="1">
      <pivotArea type="data" outline="0" fieldPosition="0">
        <references count="3">
          <reference field="4294967294" count="1" selected="0">
            <x v="0"/>
          </reference>
          <reference field="2" count="1" selected="0">
            <x v="4"/>
          </reference>
          <reference field="3" count="1" selected="0">
            <x v="0"/>
          </reference>
        </references>
      </pivotArea>
    </chartFormat>
    <chartFormat chart="16" format="0" series="1">
      <pivotArea type="data" outline="0" fieldPosition="0">
        <references count="3">
          <reference field="4294967294" count="1" selected="0">
            <x v="0"/>
          </reference>
          <reference field="2" count="1" selected="0">
            <x v="0"/>
          </reference>
          <reference field="3" count="1" selected="0">
            <x v="0"/>
          </reference>
        </references>
      </pivotArea>
    </chartFormat>
    <chartFormat chart="16" format="1" series="1">
      <pivotArea type="data" outline="0" fieldPosition="0">
        <references count="3">
          <reference field="4294967294" count="1" selected="0">
            <x v="0"/>
          </reference>
          <reference field="2" count="1" selected="0">
            <x v="1"/>
          </reference>
          <reference field="3" count="1" selected="0">
            <x v="0"/>
          </reference>
        </references>
      </pivotArea>
    </chartFormat>
    <chartFormat chart="16" format="2" series="1">
      <pivotArea type="data" outline="0" fieldPosition="0">
        <references count="3">
          <reference field="4294967294" count="1" selected="0">
            <x v="0"/>
          </reference>
          <reference field="2" count="1" selected="0">
            <x v="2"/>
          </reference>
          <reference field="3" count="1" selected="0">
            <x v="0"/>
          </reference>
        </references>
      </pivotArea>
    </chartFormat>
    <chartFormat chart="16" format="3" series="1">
      <pivotArea type="data" outline="0" fieldPosition="0">
        <references count="3">
          <reference field="4294967294" count="1" selected="0">
            <x v="0"/>
          </reference>
          <reference field="2" count="1" selected="0">
            <x v="3"/>
          </reference>
          <reference field="3" count="1" selected="0">
            <x v="0"/>
          </reference>
        </references>
      </pivotArea>
    </chartFormat>
    <chartFormat chart="16" format="4" series="1">
      <pivotArea type="data" outline="0" fieldPosition="0">
        <references count="3">
          <reference field="4294967294" count="1" selected="0">
            <x v="0"/>
          </reference>
          <reference field="2" count="1" selected="0">
            <x v="4"/>
          </reference>
          <reference field="3" count="1" selected="0">
            <x v="0"/>
          </reference>
        </references>
      </pivotArea>
    </chartFormat>
    <chartFormat chart="16" format="5" series="1">
      <pivotArea type="data" outline="0" fieldPosition="0">
        <references count="3">
          <reference field="4294967294" count="1" selected="0">
            <x v="0"/>
          </reference>
          <reference field="2" count="1" selected="0">
            <x v="0"/>
          </reference>
          <reference field="3" count="1" selected="0">
            <x v="3"/>
          </reference>
        </references>
      </pivotArea>
    </chartFormat>
    <chartFormat chart="16" format="6" series="1">
      <pivotArea type="data" outline="0" fieldPosition="0">
        <references count="3">
          <reference field="4294967294" count="1" selected="0">
            <x v="0"/>
          </reference>
          <reference field="2" count="1" selected="0">
            <x v="1"/>
          </reference>
          <reference field="3" count="1" selected="0">
            <x v="3"/>
          </reference>
        </references>
      </pivotArea>
    </chartFormat>
    <chartFormat chart="16" format="7" series="1">
      <pivotArea type="data" outline="0" fieldPosition="0">
        <references count="3">
          <reference field="4294967294" count="1" selected="0">
            <x v="0"/>
          </reference>
          <reference field="2" count="1" selected="0">
            <x v="2"/>
          </reference>
          <reference field="3" count="1" selected="0">
            <x v="3"/>
          </reference>
        </references>
      </pivotArea>
    </chartFormat>
    <chartFormat chart="16" format="8" series="1">
      <pivotArea type="data" outline="0" fieldPosition="0">
        <references count="3">
          <reference field="4294967294" count="1" selected="0">
            <x v="0"/>
          </reference>
          <reference field="2" count="1" selected="0">
            <x v="3"/>
          </reference>
          <reference field="3" count="1" selected="0">
            <x v="3"/>
          </reference>
        </references>
      </pivotArea>
    </chartFormat>
    <chartFormat chart="16" format="9" series="1">
      <pivotArea type="data" outline="0" fieldPosition="0">
        <references count="3">
          <reference field="4294967294" count="1" selected="0">
            <x v="0"/>
          </reference>
          <reference field="2" count="1" selected="0">
            <x v="4"/>
          </reference>
          <reference field="3" count="1" selected="0">
            <x v="3"/>
          </reference>
        </references>
      </pivotArea>
    </chartFormat>
    <chartFormat chart="17" format="0" series="1">
      <pivotArea type="data" outline="0" fieldPosition="0">
        <references count="3">
          <reference field="4294967294" count="1" selected="0">
            <x v="0"/>
          </reference>
          <reference field="2" count="1" selected="0">
            <x v="0"/>
          </reference>
          <reference field="3" count="1" selected="0">
            <x v="3"/>
          </reference>
        </references>
      </pivotArea>
    </chartFormat>
    <chartFormat chart="17" format="1" series="1">
      <pivotArea type="data" outline="0" fieldPosition="0">
        <references count="3">
          <reference field="4294967294" count="1" selected="0">
            <x v="0"/>
          </reference>
          <reference field="2" count="1" selected="0">
            <x v="1"/>
          </reference>
          <reference field="3" count="1" selected="0">
            <x v="3"/>
          </reference>
        </references>
      </pivotArea>
    </chartFormat>
    <chartFormat chart="17" format="2" series="1">
      <pivotArea type="data" outline="0" fieldPosition="0">
        <references count="3">
          <reference field="4294967294" count="1" selected="0">
            <x v="0"/>
          </reference>
          <reference field="2" count="1" selected="0">
            <x v="2"/>
          </reference>
          <reference field="3" count="1" selected="0">
            <x v="3"/>
          </reference>
        </references>
      </pivotArea>
    </chartFormat>
    <chartFormat chart="17" format="3" series="1">
      <pivotArea type="data" outline="0" fieldPosition="0">
        <references count="3">
          <reference field="4294967294" count="1" selected="0">
            <x v="0"/>
          </reference>
          <reference field="2" count="1" selected="0">
            <x v="3"/>
          </reference>
          <reference field="3" count="1" selected="0">
            <x v="3"/>
          </reference>
        </references>
      </pivotArea>
    </chartFormat>
    <chartFormat chart="17" format="4" series="1">
      <pivotArea type="data" outline="0" fieldPosition="0">
        <references count="3">
          <reference field="4294967294" count="1" selected="0">
            <x v="0"/>
          </reference>
          <reference field="2" count="1" selected="0">
            <x v="4"/>
          </reference>
          <reference field="3" count="1" selected="0">
            <x v="3"/>
          </reference>
        </references>
      </pivotArea>
    </chartFormat>
    <chartFormat chart="17" format="5" series="1">
      <pivotArea type="data" outline="0" fieldPosition="0">
        <references count="3">
          <reference field="4294967294" count="1" selected="0">
            <x v="0"/>
          </reference>
          <reference field="2" count="1" selected="0">
            <x v="0"/>
          </reference>
          <reference field="3" count="1" selected="0">
            <x v="2"/>
          </reference>
        </references>
      </pivotArea>
    </chartFormat>
    <chartFormat chart="17" format="6" series="1">
      <pivotArea type="data" outline="0" fieldPosition="0">
        <references count="3">
          <reference field="4294967294" count="1" selected="0">
            <x v="0"/>
          </reference>
          <reference field="2" count="1" selected="0">
            <x v="1"/>
          </reference>
          <reference field="3" count="1" selected="0">
            <x v="2"/>
          </reference>
        </references>
      </pivotArea>
    </chartFormat>
    <chartFormat chart="17" format="7" series="1">
      <pivotArea type="data" outline="0" fieldPosition="0">
        <references count="3">
          <reference field="4294967294" count="1" selected="0">
            <x v="0"/>
          </reference>
          <reference field="2" count="1" selected="0">
            <x v="2"/>
          </reference>
          <reference field="3" count="1" selected="0">
            <x v="2"/>
          </reference>
        </references>
      </pivotArea>
    </chartFormat>
    <chartFormat chart="17" format="8" series="1">
      <pivotArea type="data" outline="0" fieldPosition="0">
        <references count="3">
          <reference field="4294967294" count="1" selected="0">
            <x v="0"/>
          </reference>
          <reference field="2" count="1" selected="0">
            <x v="3"/>
          </reference>
          <reference field="3" count="1" selected="0">
            <x v="2"/>
          </reference>
        </references>
      </pivotArea>
    </chartFormat>
    <chartFormat chart="17" format="9" series="1">
      <pivotArea type="data" outline="0" fieldPosition="0">
        <references count="3">
          <reference field="4294967294" count="1" selected="0">
            <x v="0"/>
          </reference>
          <reference field="2" count="1" selected="0">
            <x v="4"/>
          </reference>
          <reference field="3" count="1" selected="0">
            <x v="2"/>
          </reference>
        </references>
      </pivotArea>
    </chartFormat>
    <chartFormat chart="22" format="25" series="1">
      <pivotArea type="data" outline="0" fieldPosition="0">
        <references count="3">
          <reference field="4294967294" count="1" selected="0">
            <x v="0"/>
          </reference>
          <reference field="2" count="1" selected="0">
            <x v="0"/>
          </reference>
          <reference field="3" count="1" selected="0">
            <x v="2"/>
          </reference>
        </references>
      </pivotArea>
    </chartFormat>
    <chartFormat chart="22" format="26" series="1">
      <pivotArea type="data" outline="0" fieldPosition="0">
        <references count="3">
          <reference field="4294967294" count="1" selected="0">
            <x v="0"/>
          </reference>
          <reference field="2" count="1" selected="0">
            <x v="1"/>
          </reference>
          <reference field="3" count="1" selected="0">
            <x v="2"/>
          </reference>
        </references>
      </pivotArea>
    </chartFormat>
    <chartFormat chart="22" format="27" series="1">
      <pivotArea type="data" outline="0" fieldPosition="0">
        <references count="3">
          <reference field="4294967294" count="1" selected="0">
            <x v="0"/>
          </reference>
          <reference field="2" count="1" selected="0">
            <x v="2"/>
          </reference>
          <reference field="3" count="1" selected="0">
            <x v="2"/>
          </reference>
        </references>
      </pivotArea>
    </chartFormat>
    <chartFormat chart="22" format="28" series="1">
      <pivotArea type="data" outline="0" fieldPosition="0">
        <references count="3">
          <reference field="4294967294" count="1" selected="0">
            <x v="0"/>
          </reference>
          <reference field="2" count="1" selected="0">
            <x v="3"/>
          </reference>
          <reference field="3" count="1" selected="0">
            <x v="2"/>
          </reference>
        </references>
      </pivotArea>
    </chartFormat>
    <chartFormat chart="22" format="29" series="1">
      <pivotArea type="data" outline="0" fieldPosition="0">
        <references count="3">
          <reference field="4294967294" count="1" selected="0">
            <x v="0"/>
          </reference>
          <reference field="2" count="1" selected="0">
            <x v="4"/>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9258864-C730-454A-9657-C2036989EF85}" name="Min_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556:B562" firstHeaderRow="1" firstDataRow="1" firstDataCol="1"/>
  <pivotFields count="21">
    <pivotField numFmtId="14" showAll="0">
      <items count="15">
        <item x="0"/>
        <item x="1"/>
        <item x="2"/>
        <item x="3"/>
        <item x="4"/>
        <item x="5"/>
        <item x="6"/>
        <item x="7"/>
        <item x="8"/>
        <item x="9"/>
        <item x="10"/>
        <item x="11"/>
        <item x="12"/>
        <item x="13"/>
        <item t="default"/>
      </items>
    </pivotField>
    <pivotField multipleItemSelectionAllowed="1" showAll="0">
      <items count="7">
        <item x="1"/>
        <item x="2"/>
        <item x="3"/>
        <item x="0"/>
        <item x="4"/>
        <item x="5"/>
        <item t="default"/>
      </items>
    </pivotField>
    <pivotField showAll="0">
      <items count="6">
        <item x="0"/>
        <item x="1"/>
        <item x="2"/>
        <item x="3"/>
        <item x="4"/>
        <item t="default"/>
      </items>
    </pivotField>
    <pivotField axis="axisRow"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numFmtId="166" showAll="0" maxSubtotal="1"/>
    <pivotField dataField="1"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i>
    <i>
      <x v="1"/>
    </i>
    <i>
      <x v="2"/>
    </i>
    <i>
      <x v="3"/>
    </i>
    <i>
      <x v="4"/>
    </i>
    <i t="grand">
      <x/>
    </i>
  </rowItems>
  <colItems count="1">
    <i/>
  </colItems>
  <dataFields count="1">
    <dataField name="Min Profit" fld="13" baseField="3" baseItem="0" numFmtId="170"/>
  </dataFields>
  <formats count="1">
    <format dxfId="70">
      <pivotArea outline="0" collapsedLevelsAreSubtotals="1" fieldPosition="0"/>
    </format>
  </formats>
  <chartFormats count="3">
    <chartFormat chart="16" format="1"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C3AB256-FCA2-46F0-94D2-F508BDE058B3}"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210:H217" firstHeaderRow="1" firstDataRow="2" firstDataCol="1"/>
  <pivotFields count="21">
    <pivotField numFmtId="14" showAll="0">
      <items count="15">
        <item x="0"/>
        <item x="1"/>
        <item x="2"/>
        <item x="3"/>
        <item x="4"/>
        <item x="5"/>
        <item x="6"/>
        <item x="7"/>
        <item x="8"/>
        <item x="9"/>
        <item x="10"/>
        <item x="11"/>
        <item x="12"/>
        <item x="13"/>
        <item t="default"/>
      </items>
    </pivotField>
    <pivotField axis="axisCol" showAll="0">
      <items count="7">
        <item x="1"/>
        <item x="2"/>
        <item x="3"/>
        <item x="0"/>
        <item x="4"/>
        <item x="5"/>
        <item t="default"/>
      </items>
    </pivotField>
    <pivotField axis="axisRow" showAll="0">
      <items count="6">
        <item x="0"/>
        <item x="1"/>
        <item x="2"/>
        <item x="3"/>
        <item x="4"/>
        <item t="default"/>
      </items>
    </pivotField>
    <pivotField showAll="0"/>
    <pivotField showAll="0"/>
    <pivotField numFmtId="166" showAll="0"/>
    <pivotField numFmtId="166" showAll="0"/>
    <pivotField dataField="1" numFmtId="166" showAll="0"/>
    <pivotField showAll="0"/>
    <pivotField numFmtId="166" showAll="0"/>
    <pivotField numFmtId="166" showAll="0"/>
    <pivotField showAll="0"/>
    <pivotField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2"/>
  </rowFields>
  <rowItems count="6">
    <i>
      <x/>
    </i>
    <i>
      <x v="1"/>
    </i>
    <i>
      <x v="2"/>
    </i>
    <i>
      <x v="3"/>
    </i>
    <i>
      <x v="4"/>
    </i>
    <i t="grand">
      <x/>
    </i>
  </rowItems>
  <colFields count="1">
    <field x="1"/>
  </colFields>
  <colItems count="7">
    <i>
      <x/>
    </i>
    <i>
      <x v="1"/>
    </i>
    <i>
      <x v="2"/>
    </i>
    <i>
      <x v="3"/>
    </i>
    <i>
      <x v="4"/>
    </i>
    <i>
      <x v="5"/>
    </i>
    <i t="grand">
      <x/>
    </i>
  </colItems>
  <dataFields count="1">
    <dataField name="Average of Sale Price" fld="7" subtotal="average" baseField="2"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858C112-A7DE-4447-B6DA-114B1C07A087}" name="DBPR"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88:B393" firstHeaderRow="1" firstDataRow="1" firstDataCol="1"/>
  <pivotFields count="21">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6" showAll="0"/>
    <pivotField numFmtId="166" showAll="0"/>
    <pivotField numFmtId="166" showAll="0"/>
    <pivotField showAll="0"/>
    <pivotField numFmtId="166" showAll="0"/>
    <pivotField numFmtId="166"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numFmtId="166" showAll="0"/>
    <pivotField numFmtId="166" showAll="0"/>
    <pivotField showAll="0"/>
    <pivotField dataField="1"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11"/>
  </rowFields>
  <rowItems count="5">
    <i>
      <x v="3"/>
    </i>
    <i>
      <x v="1"/>
    </i>
    <i>
      <x v="2"/>
    </i>
    <i>
      <x/>
    </i>
    <i t="grand">
      <x/>
    </i>
  </rowItems>
  <colItems count="1">
    <i/>
  </colItems>
  <dataFields count="1">
    <dataField name="Average of Profit Ratio" fld="15" subtotal="average" baseField="11" baseItem="0"/>
  </dataFields>
  <formats count="3">
    <format dxfId="73">
      <pivotArea collapsedLevelsAreSubtotals="1" fieldPosition="0">
        <references count="1">
          <reference field="11" count="1">
            <x v="3"/>
          </reference>
        </references>
      </pivotArea>
    </format>
    <format dxfId="72">
      <pivotArea collapsedLevelsAreSubtotals="1" fieldPosition="0">
        <references count="1">
          <reference field="11" count="3">
            <x v="0"/>
            <x v="1"/>
            <x v="2"/>
          </reference>
        </references>
      </pivotArea>
    </format>
    <format dxfId="71">
      <pivotArea dataOnly="0" fieldPosition="0">
        <references count="1">
          <reference field="11"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8B5BF44-9635-441D-A76B-A96642F49390}" name="ProfitDB"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455:B460" firstHeaderRow="1" firstDataRow="1" firstDataCol="1"/>
  <pivotFields count="21">
    <pivotField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showAll="0">
      <items count="6">
        <item x="0"/>
        <item x="1"/>
        <item x="2"/>
        <item x="3"/>
        <item x="4"/>
        <item t="default"/>
      </items>
    </pivotField>
    <pivotField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numFmtId="166" showAll="0"/>
    <pivotField dataField="1"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11"/>
  </rowFields>
  <rowItems count="5">
    <i>
      <x v="1"/>
    </i>
    <i>
      <x v="2"/>
    </i>
    <i>
      <x/>
    </i>
    <i>
      <x v="3"/>
    </i>
    <i t="grand">
      <x/>
    </i>
  </rowItems>
  <colItems count="1">
    <i/>
  </colItems>
  <dataFields count="1">
    <dataField name="Sum of Profit" fld="13" baseField="0" baseItem="0"/>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23A2556-8D02-4F94-89B8-AEDF4F8210E7}"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9">
  <location ref="A847:C867" firstHeaderRow="1" firstDataRow="2" firstDataCol="1"/>
  <pivotFields count="21">
    <pivotField axis="axisRow"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showAll="0"/>
    <pivotField axis="axisCol" showAll="0" measureFilter="1">
      <items count="6">
        <item x="4"/>
        <item x="3"/>
        <item x="2"/>
        <item x="1"/>
        <item x="0"/>
        <item t="default"/>
      </items>
    </pivotField>
    <pivotField showAll="0"/>
    <pivotField numFmtId="166" showAll="0"/>
    <pivotField numFmtId="166" showAll="0"/>
    <pivotField numFmtId="166" showAll="0"/>
    <pivotField showAll="0"/>
    <pivotField numFmtId="166" showAll="0"/>
    <pivotField numFmtId="166" showAll="0"/>
    <pivotField showAll="0"/>
    <pivotField numFmtId="166" showAll="0"/>
    <pivotField dataField="1"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0"/>
    <field x="0"/>
  </rowFields>
  <rowItems count="19">
    <i>
      <x v="1"/>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2">
    <i>
      <x v="1"/>
    </i>
    <i t="grand">
      <x/>
    </i>
  </colItems>
  <dataFields count="1">
    <dataField name="Sum of Profit" fld="13" baseField="0" baseItem="0"/>
  </dataFields>
  <formats count="5">
    <format dxfId="78">
      <pivotArea type="all" dataOnly="0" outline="0" fieldPosition="0"/>
    </format>
    <format dxfId="77">
      <pivotArea outline="0" collapsedLevelsAreSubtotals="1" fieldPosition="0"/>
    </format>
    <format dxfId="76">
      <pivotArea field="20" type="button" dataOnly="0" labelOnly="1" outline="0" axis="axisRow" fieldPosition="0"/>
    </format>
    <format dxfId="75">
      <pivotArea dataOnly="0" labelOnly="1" fieldPosition="0">
        <references count="1">
          <reference field="20" count="2">
            <x v="1"/>
            <x v="2"/>
          </reference>
        </references>
      </pivotArea>
    </format>
    <format dxfId="74">
      <pivotArea dataOnly="0" labelOnly="1" grandRow="1" outline="0" fieldPosition="0"/>
    </format>
  </formats>
  <chartFormats count="7">
    <chartFormat chart="28" format="0" series="1">
      <pivotArea type="data" outline="0" fieldPosition="0">
        <references count="2">
          <reference field="4294967294" count="1" selected="0">
            <x v="0"/>
          </reference>
          <reference field="3" count="1" selected="0">
            <x v="1"/>
          </reference>
        </references>
      </pivotArea>
    </chartFormat>
    <chartFormat chart="29" format="1" series="1">
      <pivotArea type="data" outline="0" fieldPosition="0">
        <references count="2">
          <reference field="4294967294" count="1" selected="0">
            <x v="0"/>
          </reference>
          <reference field="3" count="1" selected="0">
            <x v="1"/>
          </reference>
        </references>
      </pivotArea>
    </chartFormat>
    <chartFormat chart="28" format="1" series="1">
      <pivotArea type="data" outline="0" fieldPosition="0">
        <references count="2">
          <reference field="4294967294" count="1" selected="0">
            <x v="0"/>
          </reference>
          <reference field="3" count="1" selected="0">
            <x v="2"/>
          </reference>
        </references>
      </pivotArea>
    </chartFormat>
    <chartFormat chart="28" format="2" series="1">
      <pivotArea type="data" outline="0" fieldPosition="0">
        <references count="2">
          <reference field="4294967294" count="1" selected="0">
            <x v="0"/>
          </reference>
          <reference field="3" count="1" selected="0">
            <x v="0"/>
          </reference>
        </references>
      </pivotArea>
    </chartFormat>
    <chartFormat chart="38" format="18" series="1">
      <pivotArea type="data" outline="0" fieldPosition="0">
        <references count="2">
          <reference field="4294967294" count="1" selected="0">
            <x v="0"/>
          </reference>
          <reference field="3" count="1" selected="0">
            <x v="1"/>
          </reference>
        </references>
      </pivotArea>
    </chartFormat>
    <chartFormat chart="38" format="19" series="1">
      <pivotArea type="data" outline="0" fieldPosition="0">
        <references count="2">
          <reference field="4294967294" count="1" selected="0">
            <x v="0"/>
          </reference>
          <reference field="3" count="1" selected="0">
            <x v="0"/>
          </reference>
        </references>
      </pivotArea>
    </chartFormat>
    <chartFormat chart="38" format="20"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E95A0FB7-9C74-4630-ABA2-BA9D239EE8FB}"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0">
  <location ref="A797:C817" firstHeaderRow="1" firstDataRow="2" firstDataCol="1"/>
  <pivotFields count="21">
    <pivotField axis="axisRow"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showAll="0"/>
    <pivotField axis="axisCol" showAll="0" measureFilter="1">
      <items count="6">
        <item x="4"/>
        <item x="3"/>
        <item x="2"/>
        <item x="1"/>
        <item x="0"/>
        <item t="default"/>
      </items>
    </pivotField>
    <pivotField showAll="0"/>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0"/>
    <field x="0"/>
  </rowFields>
  <rowItems count="19">
    <i>
      <x v="1"/>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2">
    <i>
      <x v="4"/>
    </i>
    <i t="grand">
      <x/>
    </i>
  </colItems>
  <dataFields count="1">
    <dataField name="Sum of Sales" fld="12" baseField="0" baseItem="0"/>
  </dataFields>
  <formats count="6">
    <format dxfId="84">
      <pivotArea type="all" dataOnly="0" outline="0" fieldPosition="0"/>
    </format>
    <format dxfId="83">
      <pivotArea outline="0" collapsedLevelsAreSubtotals="1" fieldPosition="0"/>
    </format>
    <format dxfId="82">
      <pivotArea field="20" type="button" dataOnly="0" labelOnly="1" outline="0" axis="axisRow" fieldPosition="0"/>
    </format>
    <format dxfId="81">
      <pivotArea dataOnly="0" labelOnly="1" fieldPosition="0">
        <references count="1">
          <reference field="20" count="2">
            <x v="1"/>
            <x v="2"/>
          </reference>
        </references>
      </pivotArea>
    </format>
    <format dxfId="80">
      <pivotArea dataOnly="0" labelOnly="1" grandRow="1" outline="0" fieldPosition="0"/>
    </format>
    <format dxfId="79">
      <pivotArea dataOnly="0" labelOnly="1" outline="0" fieldPosition="0">
        <references count="1">
          <reference field="4294967294" count="1">
            <x v="0"/>
          </reference>
        </references>
      </pivotArea>
    </format>
  </formats>
  <chartFormats count="1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21" format="0" series="1">
      <pivotArea type="data" outline="0" fieldPosition="0">
        <references count="2">
          <reference field="4294967294" count="1" selected="0">
            <x v="0"/>
          </reference>
          <reference field="3" count="1" selected="0">
            <x v="0"/>
          </reference>
        </references>
      </pivotArea>
    </chartFormat>
    <chartFormat chart="21" format="1" series="1">
      <pivotArea type="data" outline="0" fieldPosition="0">
        <references count="2">
          <reference field="4294967294" count="1" selected="0">
            <x v="0"/>
          </reference>
          <reference field="3" count="1" selected="0">
            <x v="1"/>
          </reference>
        </references>
      </pivotArea>
    </chartFormat>
    <chartFormat chart="21" format="2" series="1">
      <pivotArea type="data" outline="0" fieldPosition="0">
        <references count="2">
          <reference field="4294967294" count="1" selected="0">
            <x v="0"/>
          </reference>
          <reference field="3" count="1" selected="0">
            <x v="2"/>
          </reference>
        </references>
      </pivotArea>
    </chartFormat>
    <chartFormat chart="21" format="3" series="1">
      <pivotArea type="data" outline="0" fieldPosition="0">
        <references count="2">
          <reference field="4294967294" count="1" selected="0">
            <x v="0"/>
          </reference>
          <reference field="3" count="1" selected="0">
            <x v="3"/>
          </reference>
        </references>
      </pivotArea>
    </chartFormat>
    <chartFormat chart="21" format="4" series="1">
      <pivotArea type="data" outline="0" fieldPosition="0">
        <references count="2">
          <reference field="4294967294" count="1" selected="0">
            <x v="0"/>
          </reference>
          <reference field="3" count="1" selected="0">
            <x v="4"/>
          </reference>
        </references>
      </pivotArea>
    </chartFormat>
    <chartFormat chart="28" format="5" series="1">
      <pivotArea type="data" outline="0" fieldPosition="0">
        <references count="2">
          <reference field="4294967294" count="1" selected="0">
            <x v="0"/>
          </reference>
          <reference field="3" count="1" selected="0">
            <x v="4"/>
          </reference>
        </references>
      </pivotArea>
    </chartFormat>
    <chartFormat chart="28" format="6" series="1">
      <pivotArea type="data" outline="0" fieldPosition="0">
        <references count="2">
          <reference field="4294967294" count="1" selected="0">
            <x v="0"/>
          </reference>
          <reference field="3" count="1" selected="0">
            <x v="1"/>
          </reference>
        </references>
      </pivotArea>
    </chartFormat>
    <chartFormat chart="28" format="7" series="1">
      <pivotArea type="data" outline="0" fieldPosition="0">
        <references count="2">
          <reference field="4294967294" count="1" selected="0">
            <x v="0"/>
          </reference>
          <reference field="3" count="1" selected="0">
            <x v="3"/>
          </reference>
        </references>
      </pivotArea>
    </chartFormat>
    <chartFormat chart="28" format="8" series="1">
      <pivotArea type="data" outline="0" fieldPosition="0">
        <references count="2">
          <reference field="4294967294" count="1" selected="0">
            <x v="0"/>
          </reference>
          <reference field="3" count="1" selected="0">
            <x v="2"/>
          </reference>
        </references>
      </pivotArea>
    </chartFormat>
    <chartFormat chart="39" format="26" series="1">
      <pivotArea type="data" outline="0" fieldPosition="0">
        <references count="2">
          <reference field="4294967294" count="1" selected="0">
            <x v="0"/>
          </reference>
          <reference field="3" count="1" selected="0">
            <x v="4"/>
          </reference>
        </references>
      </pivotArea>
    </chartFormat>
    <chartFormat chart="39" format="27" series="1">
      <pivotArea type="data" outline="0" fieldPosition="0">
        <references count="2">
          <reference field="4294967294" count="1" selected="0">
            <x v="0"/>
          </reference>
          <reference field="3" count="1" selected="0">
            <x v="1"/>
          </reference>
        </references>
      </pivotArea>
    </chartFormat>
    <chartFormat chart="39" format="28" series="1">
      <pivotArea type="data" outline="0" fieldPosition="0">
        <references count="2">
          <reference field="4294967294" count="1" selected="0">
            <x v="0"/>
          </reference>
          <reference field="3" count="1" selected="0">
            <x v="3"/>
          </reference>
        </references>
      </pivotArea>
    </chartFormat>
    <chartFormat chart="39" format="29"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9D1F6B7-FA82-4B22-9996-21B9E50E1C66}" name="SalesPerf"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2">
  <location ref="A918:G925" firstHeaderRow="1" firstDataRow="2" firstDataCol="1"/>
  <pivotFields count="21">
    <pivotField numFmtId="14" showAll="0">
      <items count="15">
        <item x="0"/>
        <item x="1"/>
        <item x="2"/>
        <item x="3"/>
        <item x="4"/>
        <item x="5"/>
        <item x="6"/>
        <item x="7"/>
        <item x="8"/>
        <item x="9"/>
        <item x="10"/>
        <item x="11"/>
        <item x="12"/>
        <item x="13"/>
        <item t="default"/>
      </items>
    </pivotField>
    <pivotField multipleItemSelectionAllowed="1" showAll="0">
      <items count="7">
        <item x="1"/>
        <item x="2"/>
        <item x="3"/>
        <item x="0"/>
        <item x="4"/>
        <item x="5"/>
        <item t="default"/>
      </items>
    </pivotField>
    <pivotField axis="axisCol" showAll="0">
      <items count="6">
        <item x="0"/>
        <item x="1"/>
        <item x="2"/>
        <item x="3"/>
        <item x="4"/>
        <item t="default"/>
      </items>
    </pivotField>
    <pivotField axis="axisRow"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dataField="1" numFmtId="166" showAll="0" maxSubtotal="1"/>
    <pivotField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showAll="0">
      <items count="5">
        <item sd="0" x="0"/>
        <item sd="0" x="1"/>
        <item x="2"/>
        <item sd="0" x="3"/>
        <item t="default"/>
      </items>
    </pivotField>
  </pivotFields>
  <rowFields count="1">
    <field x="3"/>
  </rowFields>
  <rowItems count="6">
    <i>
      <x/>
    </i>
    <i>
      <x v="1"/>
    </i>
    <i>
      <x v="2"/>
    </i>
    <i>
      <x v="3"/>
    </i>
    <i>
      <x v="4"/>
    </i>
    <i t="grand">
      <x/>
    </i>
  </rowItems>
  <colFields count="1">
    <field x="2"/>
  </colFields>
  <colItems count="6">
    <i>
      <x/>
    </i>
    <i>
      <x v="1"/>
    </i>
    <i>
      <x v="2"/>
    </i>
    <i>
      <x v="3"/>
    </i>
    <i>
      <x v="4"/>
    </i>
    <i t="grand">
      <x/>
    </i>
  </colItems>
  <dataFields count="1">
    <dataField name="Sum of Sales" fld="12" baseField="3" baseItem="0" numFmtId="170"/>
  </dataFields>
  <chartFormats count="4">
    <chartFormat chart="16"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1D3231A-2174-404E-B715-7FD0E6769F02}" name="Min_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A543:B549" firstHeaderRow="1" firstDataRow="1" firstDataCol="1"/>
  <pivotFields count="21">
    <pivotField numFmtId="14" showAll="0">
      <items count="15">
        <item x="0"/>
        <item x="1"/>
        <item x="2"/>
        <item x="3"/>
        <item x="4"/>
        <item x="5"/>
        <item x="6"/>
        <item x="7"/>
        <item x="8"/>
        <item x="9"/>
        <item x="10"/>
        <item x="11"/>
        <item x="12"/>
        <item x="13"/>
        <item t="default"/>
      </items>
    </pivotField>
    <pivotField multipleItemSelectionAllowed="1" showAll="0">
      <items count="7">
        <item x="1"/>
        <item x="2"/>
        <item x="3"/>
        <item x="0"/>
        <item x="4"/>
        <item x="5"/>
        <item t="default"/>
      </items>
    </pivotField>
    <pivotField showAll="0">
      <items count="6">
        <item x="0"/>
        <item x="1"/>
        <item x="2"/>
        <item x="3"/>
        <item x="4"/>
        <item t="default"/>
      </items>
    </pivotField>
    <pivotField axis="axisRow"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dataField="1" numFmtId="166" showAll="0" maxSubtotal="1"/>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i>
    <i>
      <x v="1"/>
    </i>
    <i>
      <x v="2"/>
    </i>
    <i>
      <x v="3"/>
    </i>
    <i>
      <x v="4"/>
    </i>
    <i t="grand">
      <x/>
    </i>
  </rowItems>
  <colItems count="1">
    <i/>
  </colItems>
  <dataFields count="1">
    <dataField name="Min Sales" fld="12" baseField="3" baseItem="3" numFmtId="170"/>
  </dataFields>
  <chartFormats count="3">
    <chartFormat chart="16"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3F1A8DE-BA10-493F-85FB-40812CDB3A71}"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901:G907" firstHeaderRow="1" firstDataRow="2" firstDataCol="1"/>
  <pivotFields count="21">
    <pivotField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showAll="0">
      <items count="6">
        <item x="0"/>
        <item x="1"/>
        <item x="2"/>
        <item x="3"/>
        <item x="4"/>
        <item t="default"/>
      </items>
    </pivotField>
    <pivotField axis="axisCol"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dataField="1" showAll="0"/>
    <pivotField numFmtId="166" showAll="0"/>
    <pivotField numFmtId="166" showAll="0"/>
    <pivotField axis="axisRow" showAll="0">
      <items count="5">
        <item x="3"/>
        <item x="1"/>
        <item x="2"/>
        <item x="0"/>
        <item t="default"/>
      </items>
    </pivotField>
    <pivotField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11"/>
  </rowFields>
  <rowItems count="5">
    <i>
      <x/>
    </i>
    <i>
      <x v="1"/>
    </i>
    <i>
      <x v="2"/>
    </i>
    <i>
      <x v="3"/>
    </i>
    <i t="grand">
      <x/>
    </i>
  </rowItems>
  <colFields count="1">
    <field x="3"/>
  </colFields>
  <colItems count="6">
    <i>
      <x/>
    </i>
    <i>
      <x v="1"/>
    </i>
    <i>
      <x v="2"/>
    </i>
    <i>
      <x v="3"/>
    </i>
    <i>
      <x v="4"/>
    </i>
    <i t="grand">
      <x/>
    </i>
  </colItems>
  <dataFields count="1">
    <dataField name="Sum of Units Sold" fld="8" showDataAs="percentOfCol" baseField="11" baseItem="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1BC90F9-9903-4D1A-BF1D-6B27478A49B9}" name="Segment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36:B442" firstHeaderRow="1" firstDataRow="1" firstDataCol="1"/>
  <pivotFields count="21">
    <pivotField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axis="axisRow"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numFmtId="166" showAll="0"/>
    <pivotField dataField="1"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2"/>
  </rowFields>
  <rowItems count="6">
    <i>
      <x v="2"/>
    </i>
    <i>
      <x v="4"/>
    </i>
    <i>
      <x/>
    </i>
    <i>
      <x v="3"/>
    </i>
    <i>
      <x v="1"/>
    </i>
    <i t="grand">
      <x/>
    </i>
  </rowItems>
  <colItems count="1">
    <i/>
  </colItems>
  <dataFields count="1">
    <dataField name="Sum of Profit" fld="13"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A13AC60B-3C46-4D81-A04B-6527D726DFD2}"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257:C264" firstHeaderRow="0" firstDataRow="1" firstDataCol="1"/>
  <pivotFields count="21">
    <pivotField numFmtId="14" showAll="0">
      <items count="15">
        <item x="0"/>
        <item x="1"/>
        <item x="2"/>
        <item x="3"/>
        <item x="4"/>
        <item x="5"/>
        <item x="6"/>
        <item x="7"/>
        <item x="8"/>
        <item x="9"/>
        <item x="10"/>
        <item x="11"/>
        <item x="12"/>
        <item x="13"/>
        <item t="default"/>
      </items>
    </pivotField>
    <pivotField axis="axisRow" showAll="0">
      <items count="7">
        <item x="1"/>
        <item x="2"/>
        <item x="3"/>
        <item x="0"/>
        <item x="4"/>
        <item x="5"/>
        <item t="default"/>
      </items>
    </pivotField>
    <pivotField showAll="0"/>
    <pivotField showAll="0"/>
    <pivotField showAll="0"/>
    <pivotField numFmtId="166" showAll="0"/>
    <pivotField numFmtId="166" showAll="0"/>
    <pivotField numFmtId="166" showAll="0"/>
    <pivotField showAll="0"/>
    <pivotField numFmtId="166" showAll="0"/>
    <pivotField dataField="1"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1"/>
  </rowFields>
  <rowItems count="7">
    <i>
      <x/>
    </i>
    <i>
      <x v="1"/>
    </i>
    <i>
      <x v="2"/>
    </i>
    <i>
      <x v="3"/>
    </i>
    <i>
      <x v="4"/>
    </i>
    <i>
      <x v="5"/>
    </i>
    <i t="grand">
      <x/>
    </i>
  </rowItems>
  <colFields count="1">
    <field x="-2"/>
  </colFields>
  <colItems count="2">
    <i>
      <x/>
    </i>
    <i i="1">
      <x v="1"/>
    </i>
  </colItems>
  <dataFields count="2">
    <dataField name="Sum of Sales" fld="12" baseField="0" baseItem="0"/>
    <dataField name="Sum of Discounts" fld="10" baseField="0" baseItem="0"/>
  </dataFields>
  <formats count="1">
    <format dxfId="85">
      <pivotArea dataOnly="0" fieldPosition="0">
        <references count="1">
          <reference field="1" count="0"/>
        </references>
      </pivotArea>
    </format>
  </formats>
  <chartFormats count="17">
    <chartFormat chart="11"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3" format="2">
      <pivotArea type="data" outline="0" fieldPosition="0">
        <references count="2">
          <reference field="4294967294" count="1" selected="0">
            <x v="0"/>
          </reference>
          <reference field="1" count="1" selected="0">
            <x v="0"/>
          </reference>
        </references>
      </pivotArea>
    </chartFormat>
    <chartFormat chart="13" format="3">
      <pivotArea type="data" outline="0" fieldPosition="0">
        <references count="2">
          <reference field="4294967294" count="1" selected="0">
            <x v="0"/>
          </reference>
          <reference field="1" count="1" selected="0">
            <x v="1"/>
          </reference>
        </references>
      </pivotArea>
    </chartFormat>
    <chartFormat chart="13" format="4">
      <pivotArea type="data" outline="0" fieldPosition="0">
        <references count="2">
          <reference field="4294967294" count="1" selected="0">
            <x v="0"/>
          </reference>
          <reference field="1" count="1" selected="0">
            <x v="2"/>
          </reference>
        </references>
      </pivotArea>
    </chartFormat>
    <chartFormat chart="13" format="5">
      <pivotArea type="data" outline="0" fieldPosition="0">
        <references count="2">
          <reference field="4294967294" count="1" selected="0">
            <x v="0"/>
          </reference>
          <reference field="1" count="1" selected="0">
            <x v="3"/>
          </reference>
        </references>
      </pivotArea>
    </chartFormat>
    <chartFormat chart="13" format="6">
      <pivotArea type="data" outline="0" fieldPosition="0">
        <references count="2">
          <reference field="4294967294" count="1" selected="0">
            <x v="0"/>
          </reference>
          <reference field="1" count="1" selected="0">
            <x v="4"/>
          </reference>
        </references>
      </pivotArea>
    </chartFormat>
    <chartFormat chart="13" format="7">
      <pivotArea type="data" outline="0" fieldPosition="0">
        <references count="2">
          <reference field="4294967294" count="1" selected="0">
            <x v="0"/>
          </reference>
          <reference field="1" count="1" selected="0">
            <x v="5"/>
          </reference>
        </references>
      </pivotArea>
    </chartFormat>
    <chartFormat chart="13" format="8">
      <pivotArea type="data" outline="0" fieldPosition="0">
        <references count="2">
          <reference field="4294967294" count="1" selected="0">
            <x v="1"/>
          </reference>
          <reference field="1" count="1" selected="0">
            <x v="0"/>
          </reference>
        </references>
      </pivotArea>
    </chartFormat>
    <chartFormat chart="13" format="9">
      <pivotArea type="data" outline="0" fieldPosition="0">
        <references count="2">
          <reference field="4294967294" count="1" selected="0">
            <x v="1"/>
          </reference>
          <reference field="1" count="1" selected="0">
            <x v="1"/>
          </reference>
        </references>
      </pivotArea>
    </chartFormat>
    <chartFormat chart="13" format="10">
      <pivotArea type="data" outline="0" fieldPosition="0">
        <references count="2">
          <reference field="4294967294" count="1" selected="0">
            <x v="1"/>
          </reference>
          <reference field="1" count="1" selected="0">
            <x v="2"/>
          </reference>
        </references>
      </pivotArea>
    </chartFormat>
    <chartFormat chart="13" format="11">
      <pivotArea type="data" outline="0" fieldPosition="0">
        <references count="2">
          <reference field="4294967294" count="1" selected="0">
            <x v="1"/>
          </reference>
          <reference field="1" count="1" selected="0">
            <x v="3"/>
          </reference>
        </references>
      </pivotArea>
    </chartFormat>
    <chartFormat chart="13" format="12">
      <pivotArea type="data" outline="0" fieldPosition="0">
        <references count="2">
          <reference field="4294967294" count="1" selected="0">
            <x v="1"/>
          </reference>
          <reference field="1" count="1" selected="0">
            <x v="4"/>
          </reference>
        </references>
      </pivotArea>
    </chartFormat>
    <chartFormat chart="13" format="13">
      <pivotArea type="data" outline="0" fieldPosition="0">
        <references count="2">
          <reference field="4294967294" count="1" selected="0">
            <x v="1"/>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9D40055-1201-4568-9378-4344E2AFFB30}" name="Sales-Profit-Discou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A229:D248" firstHeaderRow="0" firstDataRow="1" firstDataCol="1"/>
  <pivotFields count="21">
    <pivotField axis="axisRow"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showAll="0">
      <items count="6">
        <item x="0"/>
        <item x="1"/>
        <item x="2"/>
        <item x="3"/>
        <item x="4"/>
        <item t="default"/>
      </items>
    </pivotField>
    <pivotField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showAll="0"/>
    <pivotField numFmtId="166" showAll="0"/>
    <pivotField dataField="1" numFmtId="166" showAll="0"/>
    <pivotField showAll="0"/>
    <pivotField dataField="1" numFmtId="166" showAll="0"/>
    <pivotField dataField="1"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0"/>
    <field x="0"/>
  </rowFields>
  <rowItems count="19">
    <i>
      <x v="1"/>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3">
    <i>
      <x/>
    </i>
    <i i="1">
      <x v="1"/>
    </i>
    <i i="2">
      <x v="2"/>
    </i>
  </colItems>
  <dataFields count="3">
    <dataField name="Sum of Sales" fld="12" baseField="0" baseItem="0"/>
    <dataField name="Sum of Profit" fld="13" baseField="0" baseItem="0"/>
    <dataField name="Sum of Discounts" fld="10" baseField="0" baseItem="0"/>
  </dataFields>
  <chartFormats count="7">
    <chartFormat chart="9"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2" format="3"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2"/>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39E24357-DEFF-4C02-A821-4708B983B895}" name="Country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00:B306" firstHeaderRow="1" firstDataRow="1" firstDataCol="1"/>
  <pivotFields count="21">
    <pivotField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showAll="0">
      <items count="6">
        <item x="0"/>
        <item x="1"/>
        <item x="2"/>
        <item x="3"/>
        <item x="4"/>
        <item t="default"/>
      </items>
    </pivotField>
    <pivotField axis="axisRow" showAll="0" sortType="descending">
      <items count="6">
        <item x="4"/>
        <item x="3"/>
        <item x="2"/>
        <item x="1"/>
        <item x="0"/>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numFmtId="166" showAll="0"/>
    <pivotField dataField="1"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v="1"/>
    </i>
    <i>
      <x v="2"/>
    </i>
    <i>
      <x/>
    </i>
    <i>
      <x v="4"/>
    </i>
    <i>
      <x v="3"/>
    </i>
    <i t="grand">
      <x/>
    </i>
  </rowItems>
  <colItems count="1">
    <i/>
  </colItems>
  <dataFields count="1">
    <dataField name="Sum of Profit" fld="13" baseField="0" baseItem="0"/>
  </dataFields>
  <chartFormats count="2">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B8724C46-B5E6-415A-B8CA-2E6C5590C55C}" name="Market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496:B499" firstHeaderRow="1" firstDataRow="1" firstDataCol="1"/>
  <pivotFields count="21">
    <pivotField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showAll="0">
      <items count="6">
        <item x="0"/>
        <item x="1"/>
        <item x="2"/>
        <item x="3"/>
        <item x="4"/>
        <item t="default"/>
      </items>
    </pivotField>
    <pivotField showAll="0">
      <items count="6">
        <item x="4"/>
        <item x="3"/>
        <item x="2"/>
        <item x="1"/>
        <item x="0"/>
        <item t="default"/>
      </items>
    </pivotField>
    <pivotField axis="axisRow"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numFmtId="166" showAll="0"/>
    <pivotField dataField="1"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4"/>
  </rowFields>
  <rowItems count="3">
    <i>
      <x/>
    </i>
    <i>
      <x v="1"/>
    </i>
    <i t="grand">
      <x/>
    </i>
  </rowItems>
  <colItems count="1">
    <i/>
  </colItems>
  <dataFields count="1">
    <dataField name="Sum of Profit" fld="13" baseField="0" baseItem="0"/>
  </dataFields>
  <chartFormats count="6">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4" count="1" selected="0">
            <x v="1"/>
          </reference>
        </references>
      </pivotArea>
    </chartFormat>
    <chartFormat chart="9" format="2">
      <pivotArea type="data" outline="0" fieldPosition="0">
        <references count="2">
          <reference field="4294967294" count="1" selected="0">
            <x v="0"/>
          </reference>
          <reference field="4"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4" count="1" selected="0">
            <x v="0"/>
          </reference>
        </references>
      </pivotArea>
    </chartFormat>
    <chartFormat chart="12"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63B39F7-8868-4282-808B-46F04569C168}" name="DB_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273:B278" firstHeaderRow="1" firstDataRow="1" firstDataCol="1"/>
  <pivotFields count="21">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6" showAll="0"/>
    <pivotField numFmtId="166" showAll="0"/>
    <pivotField numFmtId="166" showAll="0"/>
    <pivotField showAll="0"/>
    <pivotField numFmtId="166" showAll="0"/>
    <pivotField numFmtId="166"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dataField="1"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11"/>
  </rowFields>
  <rowItems count="5">
    <i>
      <x v="2"/>
    </i>
    <i>
      <x/>
    </i>
    <i>
      <x v="1"/>
    </i>
    <i>
      <x v="3"/>
    </i>
    <i t="grand">
      <x/>
    </i>
  </rowItems>
  <colItems count="1">
    <i/>
  </colItems>
  <dataFields count="1">
    <dataField name="Sum of Sales" fld="12" baseField="0" baseItem="0"/>
  </dataFields>
  <formats count="2">
    <format dxfId="87">
      <pivotArea collapsedLevelsAreSubtotals="1" fieldPosition="0">
        <references count="1">
          <reference field="11" count="0"/>
        </references>
      </pivotArea>
    </format>
    <format dxfId="86">
      <pivotArea dataOnly="0" labelOnly="1" fieldPosition="0">
        <references count="1">
          <reference field="11" count="0"/>
        </references>
      </pivotArea>
    </format>
  </formats>
  <chartFormats count="2">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F02C24E-A226-43C7-B8A6-B60DCB01B7EE}" name="US_Seg_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635:H656" firstHeaderRow="1" firstDataRow="3" firstDataCol="1"/>
  <pivotFields count="21">
    <pivotField axis="axisRow"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axis="axisCol" showAll="0">
      <items count="6">
        <item x="0"/>
        <item x="1"/>
        <item x="2"/>
        <item x="3"/>
        <item x="4"/>
        <item t="default"/>
      </items>
    </pivotField>
    <pivotField axis="axisCol" showAll="0">
      <items count="6">
        <item h="1" x="4"/>
        <item h="1" x="3"/>
        <item h="1" x="2"/>
        <item h="1" x="1"/>
        <item x="0"/>
        <item t="default"/>
      </items>
    </pivotField>
    <pivotField showAll="0"/>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0"/>
    <field x="0"/>
  </rowFields>
  <rowItems count="19">
    <i>
      <x v="1"/>
    </i>
    <i r="1">
      <x v="9"/>
    </i>
    <i r="1">
      <x v="10"/>
    </i>
    <i r="1">
      <x v="11"/>
    </i>
    <i r="1">
      <x v="12"/>
    </i>
    <i>
      <x v="2"/>
    </i>
    <i r="1">
      <x v="1"/>
    </i>
    <i r="1">
      <x v="2"/>
    </i>
    <i r="1">
      <x v="3"/>
    </i>
    <i r="1">
      <x v="4"/>
    </i>
    <i r="1">
      <x v="5"/>
    </i>
    <i r="1">
      <x v="6"/>
    </i>
    <i r="1">
      <x v="7"/>
    </i>
    <i r="1">
      <x v="8"/>
    </i>
    <i r="1">
      <x v="9"/>
    </i>
    <i r="1">
      <x v="10"/>
    </i>
    <i r="1">
      <x v="11"/>
    </i>
    <i r="1">
      <x v="12"/>
    </i>
    <i t="grand">
      <x/>
    </i>
  </rowItems>
  <colFields count="2">
    <field x="3"/>
    <field x="2"/>
  </colFields>
  <colItems count="7">
    <i>
      <x v="4"/>
      <x/>
    </i>
    <i r="1">
      <x v="1"/>
    </i>
    <i r="1">
      <x v="2"/>
    </i>
    <i r="1">
      <x v="3"/>
    </i>
    <i r="1">
      <x v="4"/>
    </i>
    <i t="default">
      <x v="4"/>
    </i>
    <i t="grand">
      <x/>
    </i>
  </colItems>
  <dataFields count="1">
    <dataField name="Sum of Sales" fld="12" baseField="0" baseItem="0"/>
  </dataFields>
  <formats count="6">
    <format dxfId="93">
      <pivotArea type="all" dataOnly="0" outline="0" fieldPosition="0"/>
    </format>
    <format dxfId="92">
      <pivotArea outline="0" collapsedLevelsAreSubtotals="1" fieldPosition="0"/>
    </format>
    <format dxfId="91">
      <pivotArea field="20" type="button" dataOnly="0" labelOnly="1" outline="0" axis="axisRow" fieldPosition="0"/>
    </format>
    <format dxfId="90">
      <pivotArea dataOnly="0" labelOnly="1" fieldPosition="0">
        <references count="1">
          <reference field="20" count="2">
            <x v="1"/>
            <x v="2"/>
          </reference>
        </references>
      </pivotArea>
    </format>
    <format dxfId="89">
      <pivotArea dataOnly="0" labelOnly="1" grandRow="1" outline="0" fieldPosition="0"/>
    </format>
    <format dxfId="88">
      <pivotArea dataOnly="0" labelOnly="1" outline="0" fieldPosition="0">
        <references count="1">
          <reference field="4294967294" count="1">
            <x v="0"/>
          </reference>
        </references>
      </pivotArea>
    </format>
  </formats>
  <chartFormats count="3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3">
          <reference field="4294967294" count="1" selected="0">
            <x v="0"/>
          </reference>
          <reference field="2" count="1" selected="0">
            <x v="0"/>
          </reference>
          <reference field="3" count="1" selected="0">
            <x v="0"/>
          </reference>
        </references>
      </pivotArea>
    </chartFormat>
    <chartFormat chart="12" format="1" series="1">
      <pivotArea type="data" outline="0" fieldPosition="0">
        <references count="3">
          <reference field="4294967294" count="1" selected="0">
            <x v="0"/>
          </reference>
          <reference field="2" count="1" selected="0">
            <x v="1"/>
          </reference>
          <reference field="3" count="1" selected="0">
            <x v="0"/>
          </reference>
        </references>
      </pivotArea>
    </chartFormat>
    <chartFormat chart="12" format="2" series="1">
      <pivotArea type="data" outline="0" fieldPosition="0">
        <references count="3">
          <reference field="4294967294" count="1" selected="0">
            <x v="0"/>
          </reference>
          <reference field="2" count="1" selected="0">
            <x v="2"/>
          </reference>
          <reference field="3" count="1" selected="0">
            <x v="0"/>
          </reference>
        </references>
      </pivotArea>
    </chartFormat>
    <chartFormat chart="12" format="3" series="1">
      <pivotArea type="data" outline="0" fieldPosition="0">
        <references count="3">
          <reference field="4294967294" count="1" selected="0">
            <x v="0"/>
          </reference>
          <reference field="2" count="1" selected="0">
            <x v="3"/>
          </reference>
          <reference field="3" count="1" selected="0">
            <x v="0"/>
          </reference>
        </references>
      </pivotArea>
    </chartFormat>
    <chartFormat chart="12" format="4" series="1">
      <pivotArea type="data" outline="0" fieldPosition="0">
        <references count="3">
          <reference field="4294967294" count="1" selected="0">
            <x v="0"/>
          </reference>
          <reference field="2" count="1" selected="0">
            <x v="4"/>
          </reference>
          <reference field="3" count="1" selected="0">
            <x v="0"/>
          </reference>
        </references>
      </pivotArea>
    </chartFormat>
    <chartFormat chart="12" format="5" series="1">
      <pivotArea type="data" outline="0" fieldPosition="0">
        <references count="3">
          <reference field="4294967294" count="1" selected="0">
            <x v="0"/>
          </reference>
          <reference field="2" count="1" selected="0">
            <x v="0"/>
          </reference>
          <reference field="3" count="1" selected="0">
            <x v="1"/>
          </reference>
        </references>
      </pivotArea>
    </chartFormat>
    <chartFormat chart="12" format="6" series="1">
      <pivotArea type="data" outline="0" fieldPosition="0">
        <references count="3">
          <reference field="4294967294" count="1" selected="0">
            <x v="0"/>
          </reference>
          <reference field="2" count="1" selected="0">
            <x v="1"/>
          </reference>
          <reference field="3" count="1" selected="0">
            <x v="1"/>
          </reference>
        </references>
      </pivotArea>
    </chartFormat>
    <chartFormat chart="12" format="7" series="1">
      <pivotArea type="data" outline="0" fieldPosition="0">
        <references count="3">
          <reference field="4294967294" count="1" selected="0">
            <x v="0"/>
          </reference>
          <reference field="2" count="1" selected="0">
            <x v="2"/>
          </reference>
          <reference field="3" count="1" selected="0">
            <x v="1"/>
          </reference>
        </references>
      </pivotArea>
    </chartFormat>
    <chartFormat chart="12" format="8" series="1">
      <pivotArea type="data" outline="0" fieldPosition="0">
        <references count="3">
          <reference field="4294967294" count="1" selected="0">
            <x v="0"/>
          </reference>
          <reference field="2" count="1" selected="0">
            <x v="3"/>
          </reference>
          <reference field="3" count="1" selected="0">
            <x v="1"/>
          </reference>
        </references>
      </pivotArea>
    </chartFormat>
    <chartFormat chart="12" format="9" series="1">
      <pivotArea type="data" outline="0" fieldPosition="0">
        <references count="3">
          <reference field="4294967294" count="1" selected="0">
            <x v="0"/>
          </reference>
          <reference field="2" count="1" selected="0">
            <x v="4"/>
          </reference>
          <reference field="3" count="1" selected="0">
            <x v="1"/>
          </reference>
        </references>
      </pivotArea>
    </chartFormat>
    <chartFormat chart="12" format="10" series="1">
      <pivotArea type="data" outline="0" fieldPosition="0">
        <references count="3">
          <reference field="4294967294" count="1" selected="0">
            <x v="0"/>
          </reference>
          <reference field="2" count="1" selected="0">
            <x v="0"/>
          </reference>
          <reference field="3" count="1" selected="0">
            <x v="2"/>
          </reference>
        </references>
      </pivotArea>
    </chartFormat>
    <chartFormat chart="12" format="11" series="1">
      <pivotArea type="data" outline="0" fieldPosition="0">
        <references count="3">
          <reference field="4294967294" count="1" selected="0">
            <x v="0"/>
          </reference>
          <reference field="2" count="1" selected="0">
            <x v="1"/>
          </reference>
          <reference field="3" count="1" selected="0">
            <x v="2"/>
          </reference>
        </references>
      </pivotArea>
    </chartFormat>
    <chartFormat chart="12" format="12" series="1">
      <pivotArea type="data" outline="0" fieldPosition="0">
        <references count="3">
          <reference field="4294967294" count="1" selected="0">
            <x v="0"/>
          </reference>
          <reference field="2" count="1" selected="0">
            <x v="2"/>
          </reference>
          <reference field="3" count="1" selected="0">
            <x v="2"/>
          </reference>
        </references>
      </pivotArea>
    </chartFormat>
    <chartFormat chart="12" format="13" series="1">
      <pivotArea type="data" outline="0" fieldPosition="0">
        <references count="3">
          <reference field="4294967294" count="1" selected="0">
            <x v="0"/>
          </reference>
          <reference field="2" count="1" selected="0">
            <x v="3"/>
          </reference>
          <reference field="3" count="1" selected="0">
            <x v="2"/>
          </reference>
        </references>
      </pivotArea>
    </chartFormat>
    <chartFormat chart="12" format="14" series="1">
      <pivotArea type="data" outline="0" fieldPosition="0">
        <references count="3">
          <reference field="4294967294" count="1" selected="0">
            <x v="0"/>
          </reference>
          <reference field="2" count="1" selected="0">
            <x v="4"/>
          </reference>
          <reference field="3" count="1" selected="0">
            <x v="2"/>
          </reference>
        </references>
      </pivotArea>
    </chartFormat>
    <chartFormat chart="12" format="15" series="1">
      <pivotArea type="data" outline="0" fieldPosition="0">
        <references count="3">
          <reference field="4294967294" count="1" selected="0">
            <x v="0"/>
          </reference>
          <reference field="2" count="1" selected="0">
            <x v="0"/>
          </reference>
          <reference field="3" count="1" selected="0">
            <x v="3"/>
          </reference>
        </references>
      </pivotArea>
    </chartFormat>
    <chartFormat chart="12" format="16" series="1">
      <pivotArea type="data" outline="0" fieldPosition="0">
        <references count="3">
          <reference field="4294967294" count="1" selected="0">
            <x v="0"/>
          </reference>
          <reference field="2" count="1" selected="0">
            <x v="1"/>
          </reference>
          <reference field="3" count="1" selected="0">
            <x v="3"/>
          </reference>
        </references>
      </pivotArea>
    </chartFormat>
    <chartFormat chart="12" format="17" series="1">
      <pivotArea type="data" outline="0" fieldPosition="0">
        <references count="3">
          <reference field="4294967294" count="1" selected="0">
            <x v="0"/>
          </reference>
          <reference field="2" count="1" selected="0">
            <x v="2"/>
          </reference>
          <reference field="3" count="1" selected="0">
            <x v="3"/>
          </reference>
        </references>
      </pivotArea>
    </chartFormat>
    <chartFormat chart="12" format="18" series="1">
      <pivotArea type="data" outline="0" fieldPosition="0">
        <references count="3">
          <reference field="4294967294" count="1" selected="0">
            <x v="0"/>
          </reference>
          <reference field="2" count="1" selected="0">
            <x v="3"/>
          </reference>
          <reference field="3" count="1" selected="0">
            <x v="3"/>
          </reference>
        </references>
      </pivotArea>
    </chartFormat>
    <chartFormat chart="12" format="19" series="1">
      <pivotArea type="data" outline="0" fieldPosition="0">
        <references count="3">
          <reference field="4294967294" count="1" selected="0">
            <x v="0"/>
          </reference>
          <reference field="2" count="1" selected="0">
            <x v="4"/>
          </reference>
          <reference field="3" count="1" selected="0">
            <x v="3"/>
          </reference>
        </references>
      </pivotArea>
    </chartFormat>
    <chartFormat chart="12" format="20" series="1">
      <pivotArea type="data" outline="0" fieldPosition="0">
        <references count="3">
          <reference field="4294967294" count="1" selected="0">
            <x v="0"/>
          </reference>
          <reference field="2" count="1" selected="0">
            <x v="0"/>
          </reference>
          <reference field="3" count="1" selected="0">
            <x v="4"/>
          </reference>
        </references>
      </pivotArea>
    </chartFormat>
    <chartFormat chart="12" format="21" series="1">
      <pivotArea type="data" outline="0" fieldPosition="0">
        <references count="3">
          <reference field="4294967294" count="1" selected="0">
            <x v="0"/>
          </reference>
          <reference field="2" count="1" selected="0">
            <x v="1"/>
          </reference>
          <reference field="3" count="1" selected="0">
            <x v="4"/>
          </reference>
        </references>
      </pivotArea>
    </chartFormat>
    <chartFormat chart="12" format="22" series="1">
      <pivotArea type="data" outline="0" fieldPosition="0">
        <references count="3">
          <reference field="4294967294" count="1" selected="0">
            <x v="0"/>
          </reference>
          <reference field="2" count="1" selected="0">
            <x v="2"/>
          </reference>
          <reference field="3" count="1" selected="0">
            <x v="4"/>
          </reference>
        </references>
      </pivotArea>
    </chartFormat>
    <chartFormat chart="12" format="23" series="1">
      <pivotArea type="data" outline="0" fieldPosition="0">
        <references count="3">
          <reference field="4294967294" count="1" selected="0">
            <x v="0"/>
          </reference>
          <reference field="2" count="1" selected="0">
            <x v="3"/>
          </reference>
          <reference field="3" count="1" selected="0">
            <x v="4"/>
          </reference>
        </references>
      </pivotArea>
    </chartFormat>
    <chartFormat chart="12" format="24" series="1">
      <pivotArea type="data" outline="0" fieldPosition="0">
        <references count="3">
          <reference field="4294967294" count="1" selected="0">
            <x v="0"/>
          </reference>
          <reference field="2" count="1" selected="0">
            <x v="4"/>
          </reference>
          <reference field="3" count="1" selected="0">
            <x v="4"/>
          </reference>
        </references>
      </pivotArea>
    </chartFormat>
    <chartFormat chart="20" format="40" series="1">
      <pivotArea type="data" outline="0" fieldPosition="0">
        <references count="3">
          <reference field="4294967294" count="1" selected="0">
            <x v="0"/>
          </reference>
          <reference field="2" count="1" selected="0">
            <x v="0"/>
          </reference>
          <reference field="3" count="1" selected="0">
            <x v="4"/>
          </reference>
        </references>
      </pivotArea>
    </chartFormat>
    <chartFormat chart="20" format="41" series="1">
      <pivotArea type="data" outline="0" fieldPosition="0">
        <references count="3">
          <reference field="4294967294" count="1" selected="0">
            <x v="0"/>
          </reference>
          <reference field="2" count="1" selected="0">
            <x v="1"/>
          </reference>
          <reference field="3" count="1" selected="0">
            <x v="4"/>
          </reference>
        </references>
      </pivotArea>
    </chartFormat>
    <chartFormat chart="20" format="42" series="1">
      <pivotArea type="data" outline="0" fieldPosition="0">
        <references count="3">
          <reference field="4294967294" count="1" selected="0">
            <x v="0"/>
          </reference>
          <reference field="2" count="1" selected="0">
            <x v="2"/>
          </reference>
          <reference field="3" count="1" selected="0">
            <x v="4"/>
          </reference>
        </references>
      </pivotArea>
    </chartFormat>
    <chartFormat chart="20" format="43" series="1">
      <pivotArea type="data" outline="0" fieldPosition="0">
        <references count="3">
          <reference field="4294967294" count="1" selected="0">
            <x v="0"/>
          </reference>
          <reference field="2" count="1" selected="0">
            <x v="3"/>
          </reference>
          <reference field="3" count="1" selected="0">
            <x v="4"/>
          </reference>
        </references>
      </pivotArea>
    </chartFormat>
    <chartFormat chart="20" format="44" series="1">
      <pivotArea type="data" outline="0" fieldPosition="0">
        <references count="3">
          <reference field="4294967294" count="1" selected="0">
            <x v="0"/>
          </reference>
          <reference field="2" count="1" selected="0">
            <x v="4"/>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BD9CA017-2796-46EB-94A6-C3FC93AC6542}" name="Sales by Segme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29:B35" firstHeaderRow="1" firstDataRow="1" firstDataCol="1"/>
  <pivotFields count="21">
    <pivotField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axis="axisRow"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2"/>
  </rowFields>
  <rowItems count="6">
    <i>
      <x/>
    </i>
    <i>
      <x v="3"/>
    </i>
    <i>
      <x v="1"/>
    </i>
    <i>
      <x v="4"/>
    </i>
    <i>
      <x v="2"/>
    </i>
    <i t="grand">
      <x/>
    </i>
  </rowItems>
  <colItems count="1">
    <i/>
  </colItems>
  <dataFields count="1">
    <dataField name="Sum of Sales" fld="12"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80719534-CB25-4B7F-9C5E-47E52B7D407E}"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402:H409" firstHeaderRow="1" firstDataRow="2" firstDataCol="1"/>
  <pivotFields count="21">
    <pivotField numFmtId="14" showAll="0">
      <items count="15">
        <item x="0"/>
        <item x="1"/>
        <item x="2"/>
        <item x="3"/>
        <item x="4"/>
        <item x="5"/>
        <item x="6"/>
        <item x="7"/>
        <item x="8"/>
        <item x="9"/>
        <item x="10"/>
        <item x="11"/>
        <item x="12"/>
        <item x="13"/>
        <item t="default"/>
      </items>
    </pivotField>
    <pivotField axis="axisCol" showAll="0">
      <items count="7">
        <item x="1"/>
        <item x="2"/>
        <item x="3"/>
        <item x="0"/>
        <item x="4"/>
        <item x="5"/>
        <item t="default"/>
      </items>
    </pivotField>
    <pivotField showAll="0"/>
    <pivotField axis="axisRow" showAll="0">
      <items count="6">
        <item x="4"/>
        <item x="3"/>
        <item x="2"/>
        <item x="1"/>
        <item x="0"/>
        <item t="default"/>
      </items>
    </pivotField>
    <pivotField showAll="0"/>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i>
    <i>
      <x v="1"/>
    </i>
    <i>
      <x v="2"/>
    </i>
    <i>
      <x v="3"/>
    </i>
    <i>
      <x v="4"/>
    </i>
    <i t="grand">
      <x/>
    </i>
  </rowItems>
  <colFields count="1">
    <field x="1"/>
  </colFields>
  <colItems count="7">
    <i>
      <x/>
    </i>
    <i>
      <x v="1"/>
    </i>
    <i>
      <x v="2"/>
    </i>
    <i>
      <x v="3"/>
    </i>
    <i>
      <x v="4"/>
    </i>
    <i>
      <x v="5"/>
    </i>
    <i t="grand">
      <x/>
    </i>
  </colItems>
  <dataFields count="1">
    <dataField name="Sum of Sales" fld="12" showDataAs="percentOfCol" baseField="3" baseItem="0" numFmtId="10"/>
  </dataFields>
  <formats count="1">
    <format dxfId="94">
      <pivotArea dataOnly="0" fieldPosition="0">
        <references count="1">
          <reference field="3" count="0"/>
        </references>
      </pivotArea>
    </format>
  </formats>
  <chartFormats count="6">
    <chartFormat chart="23" format="6" series="1">
      <pivotArea type="data" outline="0" fieldPosition="0">
        <references count="2">
          <reference field="4294967294" count="1" selected="0">
            <x v="0"/>
          </reference>
          <reference field="1" count="1" selected="0">
            <x v="3"/>
          </reference>
        </references>
      </pivotArea>
    </chartFormat>
    <chartFormat chart="23" format="7" series="1">
      <pivotArea type="data" outline="0" fieldPosition="0">
        <references count="2">
          <reference field="4294967294" count="1" selected="0">
            <x v="0"/>
          </reference>
          <reference field="1" count="1" selected="0">
            <x v="4"/>
          </reference>
        </references>
      </pivotArea>
    </chartFormat>
    <chartFormat chart="23" format="8" series="1">
      <pivotArea type="data" outline="0" fieldPosition="0">
        <references count="2">
          <reference field="4294967294" count="1" selected="0">
            <x v="0"/>
          </reference>
          <reference field="1" count="1" selected="0">
            <x v="5"/>
          </reference>
        </references>
      </pivotArea>
    </chartFormat>
    <chartFormat chart="23" format="9" series="1">
      <pivotArea type="data" outline="0" fieldPosition="0">
        <references count="2">
          <reference field="4294967294" count="1" selected="0">
            <x v="0"/>
          </reference>
          <reference field="1" count="1" selected="0">
            <x v="0"/>
          </reference>
        </references>
      </pivotArea>
    </chartFormat>
    <chartFormat chart="23" format="10" series="1">
      <pivotArea type="data" outline="0" fieldPosition="0">
        <references count="2">
          <reference field="4294967294" count="1" selected="0">
            <x v="0"/>
          </reference>
          <reference field="1" count="1" selected="0">
            <x v="1"/>
          </reference>
        </references>
      </pivotArea>
    </chartFormat>
    <chartFormat chart="23" format="11"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33EF1A82-D3C0-4FC7-BFE0-9772125244CB}" name="CountryPR"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14:B320" firstHeaderRow="1" firstDataRow="1" firstDataCol="1"/>
  <pivotFields count="21">
    <pivotField numFmtId="14" showAll="0">
      <items count="15">
        <item x="0"/>
        <item x="1"/>
        <item x="2"/>
        <item x="3"/>
        <item x="4"/>
        <item x="5"/>
        <item x="6"/>
        <item x="7"/>
        <item x="8"/>
        <item x="9"/>
        <item x="10"/>
        <item x="11"/>
        <item x="12"/>
        <item x="13"/>
        <item t="default"/>
      </items>
    </pivotField>
    <pivotField showAll="0"/>
    <pivotField showAll="0"/>
    <pivotField axis="axisRow" showAll="0" sortType="descending">
      <items count="6">
        <item x="4"/>
        <item x="3"/>
        <item x="2"/>
        <item x="1"/>
        <item x="0"/>
        <item t="default"/>
      </items>
      <autoSortScope>
        <pivotArea dataOnly="0" outline="0" fieldPosition="0">
          <references count="1">
            <reference field="4294967294" count="1" selected="0">
              <x v="0"/>
            </reference>
          </references>
        </pivotArea>
      </autoSortScope>
    </pivotField>
    <pivotField showAll="0"/>
    <pivotField numFmtId="166" showAll="0"/>
    <pivotField numFmtId="166" showAll="0"/>
    <pivotField numFmtId="166" showAll="0"/>
    <pivotField showAll="0"/>
    <pivotField numFmtId="166" showAll="0"/>
    <pivotField numFmtId="166" showAll="0"/>
    <pivotField showAll="0"/>
    <pivotField numFmtId="166" showAll="0"/>
    <pivotField numFmtId="166" showAll="0"/>
    <pivotField showAll="0"/>
    <pivotField dataField="1"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v="2"/>
    </i>
    <i>
      <x v="1"/>
    </i>
    <i>
      <x v="4"/>
    </i>
    <i>
      <x/>
    </i>
    <i>
      <x v="3"/>
    </i>
    <i t="grand">
      <x/>
    </i>
  </rowItems>
  <colItems count="1">
    <i/>
  </colItems>
  <dataFields count="1">
    <dataField name="Sum of Profit Ratio" fld="15" baseField="0" baseItem="0"/>
  </dataFields>
  <formats count="1">
    <format dxfId="95">
      <pivotArea dataOnly="0" fieldPosition="0">
        <references count="1">
          <reference field="3" count="0"/>
        </references>
      </pivotArea>
    </format>
  </formats>
  <chartFormats count="1">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4405325E-87CC-40CF-8138-9EE434542D95}" name="Max_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A515:B521" firstHeaderRow="1" firstDataRow="1" firstDataCol="1"/>
  <pivotFields count="21">
    <pivotField numFmtId="14" showAll="0">
      <items count="15">
        <item x="0"/>
        <item x="1"/>
        <item x="2"/>
        <item x="3"/>
        <item x="4"/>
        <item x="5"/>
        <item x="6"/>
        <item x="7"/>
        <item x="8"/>
        <item x="9"/>
        <item x="10"/>
        <item x="11"/>
        <item x="12"/>
        <item x="13"/>
        <item t="default"/>
      </items>
    </pivotField>
    <pivotField multipleItemSelectionAllowed="1" showAll="0">
      <items count="7">
        <item x="1"/>
        <item x="2"/>
        <item x="3"/>
        <item x="0"/>
        <item x="4"/>
        <item x="5"/>
        <item t="default"/>
      </items>
    </pivotField>
    <pivotField showAll="0">
      <items count="6">
        <item x="0"/>
        <item x="1"/>
        <item x="2"/>
        <item x="3"/>
        <item x="4"/>
        <item t="default"/>
      </items>
    </pivotField>
    <pivotField axis="axisRow"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dataField="1" numFmtId="166" showAll="0" maxSubtotal="1"/>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i>
    <i>
      <x v="1"/>
    </i>
    <i>
      <x v="2"/>
    </i>
    <i>
      <x v="3"/>
    </i>
    <i>
      <x v="4"/>
    </i>
    <i t="grand">
      <x/>
    </i>
  </rowItems>
  <colItems count="1">
    <i/>
  </colItems>
  <dataFields count="1">
    <dataField name="Max Sales" fld="12" baseField="3" baseItem="4" numFmtId="171"/>
  </dataFields>
  <formats count="1">
    <format dxfId="96">
      <pivotArea outline="0" collapsedLevelsAreSubtotals="1" fieldPosition="0"/>
    </format>
  </formats>
  <chartFormats count="2">
    <chartFormat chart="16"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40193635-88DB-43E1-8D03-6BF9782AF1F8}"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417:H424" firstHeaderRow="1" firstDataRow="2" firstDataCol="1"/>
  <pivotFields count="21">
    <pivotField numFmtId="14" showAll="0">
      <items count="15">
        <item x="0"/>
        <item x="1"/>
        <item x="2"/>
        <item x="3"/>
        <item x="4"/>
        <item x="5"/>
        <item x="6"/>
        <item x="7"/>
        <item x="8"/>
        <item x="9"/>
        <item x="10"/>
        <item x="11"/>
        <item x="12"/>
        <item x="13"/>
        <item t="default"/>
      </items>
    </pivotField>
    <pivotField axis="axisCol" showAll="0">
      <items count="7">
        <item x="1"/>
        <item x="2"/>
        <item x="3"/>
        <item x="0"/>
        <item x="4"/>
        <item x="5"/>
        <item t="default"/>
      </items>
    </pivotField>
    <pivotField axis="axisRow" showAll="0">
      <items count="6">
        <item x="0"/>
        <item x="1"/>
        <item x="2"/>
        <item x="3"/>
        <item x="4"/>
        <item t="default"/>
      </items>
    </pivotField>
    <pivotField axis="axisRow" showAll="0">
      <items count="6">
        <item sd="0" x="4"/>
        <item sd="0" x="3"/>
        <item sd="0" x="2"/>
        <item sd="0" x="1"/>
        <item sd="0" x="0"/>
        <item t="default"/>
      </items>
    </pivotField>
    <pivotField showAll="0"/>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2">
    <field x="3"/>
    <field x="2"/>
  </rowFields>
  <rowItems count="6">
    <i>
      <x/>
    </i>
    <i>
      <x v="1"/>
    </i>
    <i>
      <x v="2"/>
    </i>
    <i>
      <x v="3"/>
    </i>
    <i>
      <x v="4"/>
    </i>
    <i t="grand">
      <x/>
    </i>
  </rowItems>
  <colFields count="1">
    <field x="1"/>
  </colFields>
  <colItems count="7">
    <i>
      <x/>
    </i>
    <i>
      <x v="1"/>
    </i>
    <i>
      <x v="2"/>
    </i>
    <i>
      <x v="3"/>
    </i>
    <i>
      <x v="4"/>
    </i>
    <i>
      <x v="5"/>
    </i>
    <i t="grand">
      <x/>
    </i>
  </colItems>
  <dataFields count="1">
    <dataField name="Sum of Sales" fld="12" showDataAs="percentOfCol" baseField="3" baseItem="0" numFmtId="10"/>
  </dataFields>
  <formats count="1">
    <format dxfId="97">
      <pivotArea dataOnly="0" fieldPosition="0">
        <references count="1">
          <reference field="3" count="0"/>
        </references>
      </pivotArea>
    </format>
  </formats>
  <chartFormats count="6">
    <chartFormat chart="23" format="6" series="1">
      <pivotArea type="data" outline="0" fieldPosition="0">
        <references count="2">
          <reference field="4294967294" count="1" selected="0">
            <x v="0"/>
          </reference>
          <reference field="1" count="1" selected="0">
            <x v="3"/>
          </reference>
        </references>
      </pivotArea>
    </chartFormat>
    <chartFormat chart="23" format="7" series="1">
      <pivotArea type="data" outline="0" fieldPosition="0">
        <references count="2">
          <reference field="4294967294" count="1" selected="0">
            <x v="0"/>
          </reference>
          <reference field="1" count="1" selected="0">
            <x v="4"/>
          </reference>
        </references>
      </pivotArea>
    </chartFormat>
    <chartFormat chart="23" format="8" series="1">
      <pivotArea type="data" outline="0" fieldPosition="0">
        <references count="2">
          <reference field="4294967294" count="1" selected="0">
            <x v="0"/>
          </reference>
          <reference field="1" count="1" selected="0">
            <x v="5"/>
          </reference>
        </references>
      </pivotArea>
    </chartFormat>
    <chartFormat chart="23" format="9" series="1">
      <pivotArea type="data" outline="0" fieldPosition="0">
        <references count="2">
          <reference field="4294967294" count="1" selected="0">
            <x v="0"/>
          </reference>
          <reference field="1" count="1" selected="0">
            <x v="0"/>
          </reference>
        </references>
      </pivotArea>
    </chartFormat>
    <chartFormat chart="23" format="10" series="1">
      <pivotArea type="data" outline="0" fieldPosition="0">
        <references count="2">
          <reference field="4294967294" count="1" selected="0">
            <x v="0"/>
          </reference>
          <reference field="1" count="1" selected="0">
            <x v="1"/>
          </reference>
        </references>
      </pivotArea>
    </chartFormat>
    <chartFormat chart="23" format="11"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F5F4EDF4-C223-4F02-8544-2E2C9B6F54AF}" name="Sales by Tim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50:C69" firstHeaderRow="0" firstDataRow="1" firstDataCol="1"/>
  <pivotFields count="21">
    <pivotField axis="axisRow"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showAll="0">
      <items count="6">
        <item x="0"/>
        <item x="1"/>
        <item x="2"/>
        <item x="3"/>
        <item x="4"/>
        <item t="default"/>
      </items>
    </pivotField>
    <pivotField showAll="0">
      <items count="6">
        <item x="4"/>
        <item x="3"/>
        <item x="2"/>
        <item x="1"/>
        <item x="0"/>
        <item t="default"/>
      </items>
    </pivotField>
    <pivotField showAll="0"/>
    <pivotField numFmtId="166" showAll="0"/>
    <pivotField dataField="1"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0"/>
    <field x="0"/>
  </rowFields>
  <rowItems count="19">
    <i>
      <x v="1"/>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2" baseField="0" baseItem="0"/>
    <dataField name="Sum of COGS" fld="6" baseField="0" baseItem="0"/>
  </dataFields>
  <formats count="6">
    <format dxfId="103">
      <pivotArea type="all" dataOnly="0" outline="0" fieldPosition="0"/>
    </format>
    <format dxfId="102">
      <pivotArea outline="0" collapsedLevelsAreSubtotals="1" fieldPosition="0"/>
    </format>
    <format dxfId="101">
      <pivotArea field="20" type="button" dataOnly="0" labelOnly="1" outline="0" axis="axisRow" fieldPosition="0"/>
    </format>
    <format dxfId="100">
      <pivotArea dataOnly="0" labelOnly="1" fieldPosition="0">
        <references count="1">
          <reference field="20" count="2">
            <x v="1"/>
            <x v="2"/>
          </reference>
        </references>
      </pivotArea>
    </format>
    <format dxfId="99">
      <pivotArea dataOnly="0" labelOnly="1" grandRow="1" outline="0" fieldPosition="0"/>
    </format>
    <format dxfId="98">
      <pivotArea dataOnly="0" labelOnly="1"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8BBE5461-13FD-42A9-BA53-C68319D39C02}"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A601:D632" firstHeaderRow="0" firstDataRow="1" firstDataCol="1"/>
  <pivotFields count="21">
    <pivotField numFmtId="14" showAll="0">
      <items count="15">
        <item x="0"/>
        <item x="1"/>
        <item x="2"/>
        <item x="3"/>
        <item x="4"/>
        <item x="5"/>
        <item x="6"/>
        <item x="7"/>
        <item x="8"/>
        <item x="9"/>
        <item x="10"/>
        <item x="11"/>
        <item x="12"/>
        <item x="13"/>
        <item t="default"/>
      </items>
    </pivotField>
    <pivotField multipleItemSelectionAllowed="1" showAll="0">
      <items count="7">
        <item x="1"/>
        <item x="2"/>
        <item x="3"/>
        <item x="0"/>
        <item x="4"/>
        <item x="5"/>
        <item t="default"/>
      </items>
    </pivotField>
    <pivotField axis="axisRow" showAll="0" sortType="descending">
      <items count="6">
        <item x="4"/>
        <item x="3"/>
        <item x="2"/>
        <item x="1"/>
        <item x="0"/>
        <item t="default"/>
      </items>
      <autoSortScope>
        <pivotArea dataOnly="0" outline="0" fieldPosition="0">
          <references count="1">
            <reference field="4294967294" count="1" selected="0">
              <x v="0"/>
            </reference>
          </references>
        </pivotArea>
      </autoSortScope>
    </pivotField>
    <pivotField axis="axisRow" showAll="0" sortType="descending">
      <items count="6">
        <item x="4"/>
        <item x="3"/>
        <item x="2"/>
        <item x="1"/>
        <item x="0"/>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dataField="1" numFmtId="166" showAll="0" maxSubtotal="1"/>
    <pivotField dataField="1" numFmtId="166" showAll="0"/>
    <pivotField showAll="0"/>
    <pivotField dataField="1" numFmtId="166" showAll="0"/>
    <pivotField showAll="0"/>
    <pivotField numFmtId="169" showAll="0"/>
    <pivotField numFmtId="169" showAll="0"/>
    <pivotField showAll="0">
      <items count="7">
        <item sd="0" x="0"/>
        <item sd="0" x="1"/>
        <item sd="0" x="2"/>
        <item sd="0" x="3"/>
        <item sd="0" x="4"/>
        <item sd="0" x="5"/>
        <item t="default"/>
      </items>
    </pivotField>
    <pivotField showAll="0">
      <items count="5">
        <item sd="0" x="0"/>
        <item sd="0" x="1"/>
        <item x="2"/>
        <item sd="0" x="3"/>
        <item t="default"/>
      </items>
    </pivotField>
  </pivotFields>
  <rowFields count="2">
    <field x="3"/>
    <field x="2"/>
  </rowFields>
  <rowItems count="31">
    <i>
      <x v="4"/>
    </i>
    <i r="1">
      <x/>
    </i>
    <i r="1">
      <x v="2"/>
    </i>
    <i r="1">
      <x v="3"/>
    </i>
    <i r="1">
      <x v="1"/>
    </i>
    <i r="1">
      <x v="4"/>
    </i>
    <i>
      <x/>
    </i>
    <i r="1">
      <x v="2"/>
    </i>
    <i r="1">
      <x/>
    </i>
    <i r="1">
      <x v="3"/>
    </i>
    <i r="1">
      <x v="1"/>
    </i>
    <i r="1">
      <x v="4"/>
    </i>
    <i>
      <x v="1"/>
    </i>
    <i r="1">
      <x v="2"/>
    </i>
    <i r="1">
      <x/>
    </i>
    <i r="1">
      <x v="3"/>
    </i>
    <i r="1">
      <x v="1"/>
    </i>
    <i r="1">
      <x v="4"/>
    </i>
    <i>
      <x v="2"/>
    </i>
    <i r="1">
      <x v="2"/>
    </i>
    <i r="1">
      <x/>
    </i>
    <i r="1">
      <x v="3"/>
    </i>
    <i r="1">
      <x v="4"/>
    </i>
    <i r="1">
      <x v="1"/>
    </i>
    <i>
      <x v="3"/>
    </i>
    <i r="1">
      <x v="2"/>
    </i>
    <i r="1">
      <x/>
    </i>
    <i r="1">
      <x v="3"/>
    </i>
    <i r="1">
      <x v="1"/>
    </i>
    <i r="1">
      <x v="4"/>
    </i>
    <i t="grand">
      <x/>
    </i>
  </rowItems>
  <colFields count="1">
    <field x="-2"/>
  </colFields>
  <colItems count="3">
    <i>
      <x/>
    </i>
    <i i="1">
      <x v="1"/>
    </i>
    <i i="2">
      <x v="2"/>
    </i>
  </colItems>
  <dataFields count="3">
    <dataField name="Sum of Sales" fld="12" baseField="3" baseItem="4" numFmtId="10">
      <extLst>
        <ext xmlns:x14="http://schemas.microsoft.com/office/spreadsheetml/2009/9/main" uri="{E15A36E0-9728-4e99-A89B-3F7291B0FE68}">
          <x14:dataField pivotShowAs="percentOfParent"/>
        </ext>
      </extLst>
    </dataField>
    <dataField name="Sum of Profit" fld="13" baseField="3" baseItem="0" numFmtId="10">
      <extLst>
        <ext xmlns:x14="http://schemas.microsoft.com/office/spreadsheetml/2009/9/main" uri="{E15A36E0-9728-4e99-A89B-3F7291B0FE68}">
          <x14:dataField pivotShowAs="percentOfParent"/>
        </ext>
      </extLst>
    </dataField>
    <dataField name="Average of Profit Ratio" fld="15" subtotal="average" baseField="3" baseItem="2" numFmtId="168">
      <extLst>
        <ext xmlns:x14="http://schemas.microsoft.com/office/spreadsheetml/2009/9/main" uri="{E15A36E0-9728-4e99-A89B-3F7291B0FE68}">
          <x14:dataField pivotShowAs="percentOfParent"/>
        </ext>
      </extLst>
    </dataField>
  </dataFields>
  <chartFormats count="3">
    <chartFormat chart="16"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59C3331C-D31C-4EEB-84CE-9A37E10E1638}" name="CountryCOG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26:B332" firstHeaderRow="1" firstDataRow="1" firstDataCol="1"/>
  <pivotFields count="21">
    <pivotField numFmtId="14" showAll="0">
      <items count="15">
        <item x="0"/>
        <item x="1"/>
        <item x="2"/>
        <item x="3"/>
        <item x="4"/>
        <item x="5"/>
        <item x="6"/>
        <item x="7"/>
        <item x="8"/>
        <item x="9"/>
        <item x="10"/>
        <item x="11"/>
        <item x="12"/>
        <item x="13"/>
        <item t="default"/>
      </items>
    </pivotField>
    <pivotField showAll="0"/>
    <pivotField showAll="0"/>
    <pivotField axis="axisRow" showAll="0">
      <items count="6">
        <item x="4"/>
        <item x="3"/>
        <item x="2"/>
        <item x="1"/>
        <item x="0"/>
        <item t="default"/>
      </items>
    </pivotField>
    <pivotField showAll="0"/>
    <pivotField numFmtId="166" showAll="0"/>
    <pivotField dataField="1" numFmtId="166" showAll="0"/>
    <pivotField numFmtId="166" showAll="0"/>
    <pivotField showAll="0"/>
    <pivotField numFmtId="166" showAll="0"/>
    <pivotField numFmtId="166" showAll="0"/>
    <pivotField showAll="0"/>
    <pivotField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i>
    <i>
      <x v="1"/>
    </i>
    <i>
      <x v="2"/>
    </i>
    <i>
      <x v="3"/>
    </i>
    <i>
      <x v="4"/>
    </i>
    <i t="grand">
      <x/>
    </i>
  </rowItems>
  <colItems count="1">
    <i/>
  </colItems>
  <dataFields count="1">
    <dataField name="Sum of COGS" fld="6" baseField="0" baseItem="0"/>
  </dataFields>
  <formats count="1">
    <format dxfId="104">
      <pivotArea dataOnly="0"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737D6E04-C3A1-412F-9E2A-16C7B78964F1}" name="PivotTable2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3">
  <location ref="A771:G791" firstHeaderRow="1" firstDataRow="2" firstDataCol="1"/>
  <pivotFields count="21">
    <pivotField axis="axisRow" numFmtId="14" showAll="0">
      <items count="15">
        <item x="0"/>
        <item x="1"/>
        <item x="2"/>
        <item x="3"/>
        <item x="4"/>
        <item x="5"/>
        <item x="6"/>
        <item x="7"/>
        <item x="8"/>
        <item x="9"/>
        <item x="10"/>
        <item x="11"/>
        <item x="12"/>
        <item x="13"/>
        <item t="default"/>
      </items>
    </pivotField>
    <pivotField showAll="0">
      <items count="7">
        <item x="1"/>
        <item x="2"/>
        <item x="3"/>
        <item x="0"/>
        <item x="4"/>
        <item x="5"/>
        <item t="default"/>
      </items>
    </pivotField>
    <pivotField axis="axisCol" showAll="0">
      <items count="6">
        <item x="0"/>
        <item x="1"/>
        <item x="2"/>
        <item x="3"/>
        <item x="4"/>
        <item t="default"/>
      </items>
    </pivotField>
    <pivotField showAll="0"/>
    <pivotField showAll="0"/>
    <pivotField numFmtId="166" showAll="0"/>
    <pivotField numFmtId="166" showAll="0"/>
    <pivotField numFmtId="166" showAll="0"/>
    <pivotField showAll="0"/>
    <pivotField numFmtId="166" showAll="0"/>
    <pivotField numFmtId="166" showAll="0"/>
    <pivotField showAll="0"/>
    <pivotField numFmtId="166" showAll="0"/>
    <pivotField numFmtId="166" showAll="0"/>
    <pivotField showAll="0"/>
    <pivotField numFmtId="166" showAll="0"/>
    <pivotField showAll="0"/>
    <pivotField numFmtId="169" showAll="0"/>
    <pivotField numFmtId="169"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0"/>
    <field x="0"/>
  </rowFields>
  <rowItems count="19">
    <i>
      <x v="1"/>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6">
    <i>
      <x/>
    </i>
    <i>
      <x v="1"/>
    </i>
    <i>
      <x v="2"/>
    </i>
    <i>
      <x v="3"/>
    </i>
    <i>
      <x v="4"/>
    </i>
    <i t="grand">
      <x/>
    </i>
  </colItems>
  <formats count="5">
    <format dxfId="109">
      <pivotArea type="all" dataOnly="0" outline="0" fieldPosition="0"/>
    </format>
    <format dxfId="108">
      <pivotArea outline="0" collapsedLevelsAreSubtotals="1" fieldPosition="0"/>
    </format>
    <format dxfId="107">
      <pivotArea field="20" type="button" dataOnly="0" labelOnly="1" outline="0" axis="axisRow" fieldPosition="0"/>
    </format>
    <format dxfId="106">
      <pivotArea dataOnly="0" labelOnly="1" fieldPosition="0">
        <references count="1">
          <reference field="20" count="2">
            <x v="1"/>
            <x v="2"/>
          </reference>
        </references>
      </pivotArea>
    </format>
    <format dxfId="105">
      <pivotArea dataOnly="0" labelOnly="1" grandRow="1" outline="0" fieldPosition="0"/>
    </format>
  </formats>
  <chartFormats count="5">
    <chartFormat chart="21" format="10" series="1">
      <pivotArea type="data" outline="0" fieldPosition="0">
        <references count="1">
          <reference field="2" count="1" selected="0">
            <x v="0"/>
          </reference>
        </references>
      </pivotArea>
    </chartFormat>
    <chartFormat chart="21" format="11" series="1">
      <pivotArea type="data" outline="0" fieldPosition="0">
        <references count="1">
          <reference field="2" count="1" selected="0">
            <x v="1"/>
          </reference>
        </references>
      </pivotArea>
    </chartFormat>
    <chartFormat chart="21" format="12" series="1">
      <pivotArea type="data" outline="0" fieldPosition="0">
        <references count="1">
          <reference field="2" count="1" selected="0">
            <x v="2"/>
          </reference>
        </references>
      </pivotArea>
    </chartFormat>
    <chartFormat chart="21" format="13" series="1">
      <pivotArea type="data" outline="0" fieldPosition="0">
        <references count="1">
          <reference field="2" count="1" selected="0">
            <x v="3"/>
          </reference>
        </references>
      </pivotArea>
    </chartFormat>
    <chartFormat chart="21" format="14" series="1">
      <pivotArea type="data" outline="0" fieldPosition="0">
        <references count="1">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C48819E0-DF6B-4153-BEFE-DF0DFC4DD73F}"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72:B78" firstHeaderRow="1" firstDataRow="1" firstDataCol="1"/>
  <pivotFields count="21">
    <pivotField numFmtId="14" showAll="0">
      <items count="15">
        <item x="0"/>
        <item x="1"/>
        <item x="2"/>
        <item x="3"/>
        <item x="4"/>
        <item x="5"/>
        <item x="6"/>
        <item x="7"/>
        <item x="8"/>
        <item x="9"/>
        <item x="10"/>
        <item x="11"/>
        <item x="12"/>
        <item x="13"/>
        <item t="default"/>
      </items>
    </pivotField>
    <pivotField showAll="0"/>
    <pivotField showAll="0"/>
    <pivotField axis="axisRow" showAll="0">
      <items count="6">
        <item x="4"/>
        <item x="3"/>
        <item x="2"/>
        <item x="1"/>
        <item x="0"/>
        <item t="default"/>
      </items>
    </pivotField>
    <pivotField showAll="0"/>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i>
    <i>
      <x v="1"/>
    </i>
    <i>
      <x v="2"/>
    </i>
    <i>
      <x v="3"/>
    </i>
    <i>
      <x v="4"/>
    </i>
    <i t="grand">
      <x/>
    </i>
  </rowItems>
  <colItems count="1">
    <i/>
  </colItems>
  <dataFields count="1">
    <dataField name="Sum of Sales" fld="12" baseField="0" baseItem="0"/>
  </dataFields>
  <formats count="6">
    <format dxfId="115">
      <pivotArea type="all" dataOnly="0" outline="0" fieldPosition="0"/>
    </format>
    <format dxfId="114">
      <pivotArea outline="0" collapsedLevelsAreSubtotals="1" fieldPosition="0"/>
    </format>
    <format dxfId="113">
      <pivotArea field="3" type="button" dataOnly="0" labelOnly="1" outline="0" axis="axisRow" fieldPosition="0"/>
    </format>
    <format dxfId="112">
      <pivotArea dataOnly="0" labelOnly="1" fieldPosition="0">
        <references count="1">
          <reference field="3" count="0"/>
        </references>
      </pivotArea>
    </format>
    <format dxfId="111">
      <pivotArea dataOnly="0" labelOnly="1" grandRow="1" outline="0" fieldPosition="0"/>
    </format>
    <format dxfId="1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4DEAEF1D-33EE-41E1-B410-95E8F5ED95A7}"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529:B535" firstHeaderRow="1" firstDataRow="1" firstDataCol="1"/>
  <pivotFields count="21">
    <pivotField numFmtId="14" showAll="0">
      <items count="15">
        <item x="0"/>
        <item x="1"/>
        <item x="2"/>
        <item x="3"/>
        <item x="4"/>
        <item x="5"/>
        <item x="6"/>
        <item x="7"/>
        <item x="8"/>
        <item x="9"/>
        <item x="10"/>
        <item x="11"/>
        <item x="12"/>
        <item x="13"/>
        <item t="default"/>
      </items>
    </pivotField>
    <pivotField multipleItemSelectionAllowed="1" showAll="0">
      <items count="7">
        <item x="1"/>
        <item x="2"/>
        <item x="3"/>
        <item x="0"/>
        <item x="4"/>
        <item x="5"/>
        <item t="default"/>
      </items>
    </pivotField>
    <pivotField showAll="0">
      <items count="6">
        <item x="0"/>
        <item x="1"/>
        <item x="2"/>
        <item x="3"/>
        <item x="4"/>
        <item t="default"/>
      </items>
    </pivotField>
    <pivotField axis="axisRow" showAll="0">
      <items count="6">
        <item x="4"/>
        <item x="3"/>
        <item x="2"/>
        <item x="1"/>
        <item x="0"/>
        <item t="default"/>
      </items>
    </pivotField>
    <pivotField showAll="0">
      <items count="3">
        <item x="1"/>
        <item x="0"/>
        <item t="default"/>
      </items>
    </pivotField>
    <pivotField numFmtId="166" showAll="0"/>
    <pivotField numFmtId="166" showAll="0"/>
    <pivotField numFmtId="166" showAll="0"/>
    <pivotField showAll="0"/>
    <pivotField numFmtId="166" showAll="0"/>
    <pivotField numFmtId="166" showAll="0"/>
    <pivotField showAll="0"/>
    <pivotField numFmtId="166" showAll="0" maxSubtotal="1"/>
    <pivotField dataField="1"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i>
    <i>
      <x v="1"/>
    </i>
    <i>
      <x v="2"/>
    </i>
    <i>
      <x v="3"/>
    </i>
    <i>
      <x v="4"/>
    </i>
    <i t="grand">
      <x/>
    </i>
  </rowItems>
  <colItems count="1">
    <i/>
  </colItems>
  <dataFields count="1">
    <dataField name="Max Profit" fld="13" baseField="3" baseItem="1" numFmtId="171"/>
  </dataFields>
  <chartFormats count="1">
    <chartFormat chart="1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6F69F265-39FD-4644-A3FA-509319AE02D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126:B129" firstHeaderRow="1" firstDataRow="1" firstDataCol="1"/>
  <pivotFields count="21">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6" showAll="0"/>
    <pivotField numFmtId="166" showAll="0"/>
    <pivotField numFmtId="166" showAll="0"/>
    <pivotField showAll="0"/>
    <pivotField numFmtId="166" showAll="0"/>
    <pivotField numFmtId="166" showAll="0"/>
    <pivotField showAll="0"/>
    <pivotField numFmtId="166" showAll="0"/>
    <pivotField dataField="1" numFmtId="166" showAll="0"/>
    <pivotField axis="axisRow" showAll="0">
      <items count="3">
        <item x="0"/>
        <item x="1"/>
        <item t="default"/>
      </items>
    </pivotField>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14"/>
  </rowFields>
  <rowItems count="3">
    <i>
      <x/>
    </i>
    <i>
      <x v="1"/>
    </i>
    <i t="grand">
      <x/>
    </i>
  </rowItems>
  <colItems count="1">
    <i/>
  </colItems>
  <dataFields count="1">
    <dataField name="Sum of Profit" fld="13" baseField="0" baseItem="0"/>
  </dataFields>
  <formats count="3">
    <format dxfId="118">
      <pivotArea outline="0" collapsedLevelsAreSubtotals="1" fieldPosition="0"/>
    </format>
    <format dxfId="117">
      <pivotArea dataOnly="0" labelOnly="1" fieldPosition="0">
        <references count="1">
          <reference field="14" count="0"/>
        </references>
      </pivotArea>
    </format>
    <format dxfId="116">
      <pivotArea dataOnly="0" labelOnly="1" grandRow="1" outline="0" fieldPosition="0"/>
    </format>
  </formats>
  <chartFormats count="3">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4" count="1" selected="0">
            <x v="0"/>
          </reference>
        </references>
      </pivotArea>
    </chartFormat>
    <chartFormat chart="8" format="2">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0C0C309C-2DF0-4D76-9AFB-BA4A241E243F}"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71:B374" firstHeaderRow="1" firstDataRow="1" firstDataCol="1"/>
  <pivotFields count="21">
    <pivotField numFmtId="14" showAll="0">
      <items count="15">
        <item x="0"/>
        <item x="1"/>
        <item x="2"/>
        <item x="3"/>
        <item x="4"/>
        <item x="5"/>
        <item x="6"/>
        <item x="7"/>
        <item x="8"/>
        <item x="9"/>
        <item x="10"/>
        <item x="11"/>
        <item x="12"/>
        <item x="13"/>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4"/>
  </rowFields>
  <rowItems count="3">
    <i>
      <x v="1"/>
    </i>
    <i>
      <x/>
    </i>
    <i t="grand">
      <x/>
    </i>
  </rowItems>
  <colItems count="1">
    <i/>
  </colItems>
  <dataFields count="1">
    <dataField name="Sum of Sales" fld="12" baseField="0" baseItem="0"/>
  </dataFields>
  <formats count="6">
    <format dxfId="124">
      <pivotArea type="all" dataOnly="0" outline="0" fieldPosition="0"/>
    </format>
    <format dxfId="123">
      <pivotArea outline="0" collapsedLevelsAreSubtotals="1" fieldPosition="0"/>
    </format>
    <format dxfId="122">
      <pivotArea field="4" type="button" dataOnly="0" labelOnly="1" outline="0" axis="axisRow" fieldPosition="0"/>
    </format>
    <format dxfId="121">
      <pivotArea dataOnly="0" labelOnly="1" fieldPosition="0">
        <references count="1">
          <reference field="4" count="0"/>
        </references>
      </pivotArea>
    </format>
    <format dxfId="120">
      <pivotArea dataOnly="0" labelOnly="1" grandRow="1" outline="0" fieldPosition="0"/>
    </format>
    <format dxfId="119">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1E7C6155-398F-4369-A167-D116A0A94707}" name="Country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357:B363" firstHeaderRow="1" firstDataRow="1" firstDataCol="1"/>
  <pivotFields count="21">
    <pivotField numFmtId="14" showAll="0">
      <items count="15">
        <item x="0"/>
        <item x="1"/>
        <item x="2"/>
        <item x="3"/>
        <item x="4"/>
        <item x="5"/>
        <item x="6"/>
        <item x="7"/>
        <item x="8"/>
        <item x="9"/>
        <item x="10"/>
        <item x="11"/>
        <item x="12"/>
        <item x="13"/>
        <item t="default"/>
      </items>
    </pivotField>
    <pivotField showAll="0"/>
    <pivotField showAll="0"/>
    <pivotField axis="axisRow" showAll="0" sortType="descending">
      <items count="6">
        <item x="4"/>
        <item x="3"/>
        <item x="2"/>
        <item x="1"/>
        <item x="0"/>
        <item t="default"/>
      </items>
      <autoSortScope>
        <pivotArea dataOnly="0" outline="0" fieldPosition="0">
          <references count="1">
            <reference field="4294967294" count="1" selected="0">
              <x v="0"/>
            </reference>
          </references>
        </pivotArea>
      </autoSortScope>
    </pivotField>
    <pivotField showAll="0"/>
    <pivotField numFmtId="166" showAll="0"/>
    <pivotField numFmtId="166" showAll="0"/>
    <pivotField numFmtId="166" showAll="0"/>
    <pivotField showAll="0"/>
    <pivotField numFmtId="166" showAll="0"/>
    <pivotField numFmtId="166" showAll="0"/>
    <pivotField showAll="0"/>
    <pivotField dataField="1" numFmtId="166" showAll="0"/>
    <pivotField numFmtId="166" showAll="0"/>
    <pivotField showAll="0"/>
    <pivotField numFmtId="166" showAll="0"/>
    <pivotField showAll="0"/>
    <pivotField numFmtId="169" showAll="0"/>
    <pivotField numFmtId="169"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6">
    <i>
      <x v="4"/>
    </i>
    <i>
      <x/>
    </i>
    <i>
      <x v="1"/>
    </i>
    <i>
      <x v="2"/>
    </i>
    <i>
      <x v="3"/>
    </i>
    <i t="grand">
      <x/>
    </i>
  </rowItems>
  <colItems count="1">
    <i/>
  </colItems>
  <dataFields count="1">
    <dataField name="Sum of Sales" fld="12" baseField="0" baseItem="0"/>
  </dataFields>
  <chartFormats count="1">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BBEFE4DD-E31D-446B-9617-30389ECCE27A}"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54" firstHeaderRow="1" firstDataRow="1" firstDataCol="1"/>
  <pivotFields count="11">
    <pivotField axis="axisRow" showAll="0" sortType="descending">
      <items count="151">
        <item x="145"/>
        <item x="49"/>
        <item x="6"/>
        <item x="16"/>
        <item x="111"/>
        <item x="131"/>
        <item x="143"/>
        <item x="51"/>
        <item x="97"/>
        <item x="81"/>
        <item x="88"/>
        <item x="106"/>
        <item x="146"/>
        <item x="52"/>
        <item x="8"/>
        <item x="18"/>
        <item x="27"/>
        <item x="32"/>
        <item x="112"/>
        <item x="119"/>
        <item x="76"/>
        <item x="84"/>
        <item x="89"/>
        <item x="101"/>
        <item x="39"/>
        <item x="46"/>
        <item x="74"/>
        <item x="23"/>
        <item x="105"/>
        <item x="141"/>
        <item x="132"/>
        <item x="72"/>
        <item x="10"/>
        <item x="83"/>
        <item x="30"/>
        <item x="91"/>
        <item x="125"/>
        <item x="96"/>
        <item x="98"/>
        <item x="60"/>
        <item x="26"/>
        <item x="67"/>
        <item x="40"/>
        <item x="121"/>
        <item x="99"/>
        <item x="80"/>
        <item x="86"/>
        <item x="102"/>
        <item x="109"/>
        <item x="134"/>
        <item x="77"/>
        <item x="61"/>
        <item x="87"/>
        <item x="90"/>
        <item x="144"/>
        <item x="50"/>
        <item x="57"/>
        <item x="59"/>
        <item x="29"/>
        <item x="66"/>
        <item x="110"/>
        <item x="0"/>
        <item x="56"/>
        <item x="14"/>
        <item x="64"/>
        <item x="37"/>
        <item x="38"/>
        <item x="54"/>
        <item x="7"/>
        <item x="44"/>
        <item x="45"/>
        <item x="35"/>
        <item x="41"/>
        <item x="1"/>
        <item x="12"/>
        <item x="17"/>
        <item x="28"/>
        <item x="65"/>
        <item x="108"/>
        <item x="47"/>
        <item x="114"/>
        <item x="19"/>
        <item x="25"/>
        <item x="70"/>
        <item x="42"/>
        <item x="48"/>
        <item x="75"/>
        <item x="22"/>
        <item x="85"/>
        <item x="92"/>
        <item x="142"/>
        <item x="118"/>
        <item x="103"/>
        <item x="24"/>
        <item x="127"/>
        <item x="124"/>
        <item x="71"/>
        <item x="2"/>
        <item x="135"/>
        <item x="20"/>
        <item x="149"/>
        <item x="33"/>
        <item x="138"/>
        <item x="3"/>
        <item x="5"/>
        <item x="62"/>
        <item x="122"/>
        <item x="34"/>
        <item x="148"/>
        <item x="4"/>
        <item x="9"/>
        <item x="15"/>
        <item x="116"/>
        <item x="107"/>
        <item x="43"/>
        <item x="120"/>
        <item x="13"/>
        <item x="58"/>
        <item x="115"/>
        <item x="126"/>
        <item x="95"/>
        <item x="139"/>
        <item x="136"/>
        <item x="82"/>
        <item x="140"/>
        <item x="31"/>
        <item x="147"/>
        <item x="128"/>
        <item x="129"/>
        <item x="78"/>
        <item x="123"/>
        <item x="36"/>
        <item x="93"/>
        <item x="73"/>
        <item x="104"/>
        <item x="79"/>
        <item x="117"/>
        <item x="68"/>
        <item x="94"/>
        <item x="53"/>
        <item x="11"/>
        <item x="21"/>
        <item x="137"/>
        <item x="69"/>
        <item x="133"/>
        <item x="113"/>
        <item x="55"/>
        <item x="63"/>
        <item x="130"/>
        <item x="100"/>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4" showAll="0"/>
    <pivotField showAll="0"/>
    <pivotField showAll="0"/>
    <pivotField dataField="1" showAll="0"/>
    <pivotField showAll="0"/>
    <pivotField numFmtId="165" showAll="0"/>
    <pivotField showAll="0"/>
  </pivotFields>
  <rowFields count="1">
    <field x="0"/>
  </rowFields>
  <rowItems count="151">
    <i>
      <x v="87"/>
    </i>
    <i>
      <x v="63"/>
    </i>
    <i>
      <x v="53"/>
    </i>
    <i>
      <x v="75"/>
    </i>
    <i>
      <x v="99"/>
    </i>
    <i>
      <x v="81"/>
    </i>
    <i>
      <x v="69"/>
    </i>
    <i>
      <x v="70"/>
    </i>
    <i>
      <x v="117"/>
    </i>
    <i>
      <x v="93"/>
    </i>
    <i>
      <x v="46"/>
    </i>
    <i>
      <x v="45"/>
    </i>
    <i>
      <x v="89"/>
    </i>
    <i>
      <x v="85"/>
    </i>
    <i>
      <x v="39"/>
    </i>
    <i>
      <x v="64"/>
    </i>
    <i>
      <x v="3"/>
    </i>
    <i>
      <x v="62"/>
    </i>
    <i>
      <x v="88"/>
    </i>
    <i>
      <x v="84"/>
    </i>
    <i>
      <x v="78"/>
    </i>
    <i>
      <x v="40"/>
    </i>
    <i>
      <x v="68"/>
    </i>
    <i>
      <x v="65"/>
    </i>
    <i>
      <x v="111"/>
    </i>
    <i>
      <x v="101"/>
    </i>
    <i>
      <x v="110"/>
    </i>
    <i>
      <x v="91"/>
    </i>
    <i>
      <x v="24"/>
    </i>
    <i>
      <x v="105"/>
    </i>
    <i>
      <x v="1"/>
    </i>
    <i>
      <x v="9"/>
    </i>
    <i>
      <x v="34"/>
    </i>
    <i>
      <x v="67"/>
    </i>
    <i>
      <x v="73"/>
    </i>
    <i>
      <x v="66"/>
    </i>
    <i>
      <x v="80"/>
    </i>
    <i>
      <x v="74"/>
    </i>
    <i>
      <x v="79"/>
    </i>
    <i>
      <x v="41"/>
    </i>
    <i>
      <x v="17"/>
    </i>
    <i>
      <x v="114"/>
    </i>
    <i>
      <x v="86"/>
    </i>
    <i>
      <x v="77"/>
    </i>
    <i>
      <x v="83"/>
    </i>
    <i>
      <x v="134"/>
    </i>
    <i>
      <x v="31"/>
    </i>
    <i>
      <x v="59"/>
    </i>
    <i>
      <x v="57"/>
    </i>
    <i>
      <x v="112"/>
    </i>
    <i>
      <x v="100"/>
    </i>
    <i>
      <x v="128"/>
    </i>
    <i>
      <x v="27"/>
    </i>
    <i>
      <x v="56"/>
    </i>
    <i>
      <x v="58"/>
    </i>
    <i>
      <x v="51"/>
    </i>
    <i>
      <x v="71"/>
    </i>
    <i>
      <x v="109"/>
    </i>
    <i>
      <x v="132"/>
    </i>
    <i>
      <x v="61"/>
    </i>
    <i>
      <x v="72"/>
    </i>
    <i>
      <x v="11"/>
    </i>
    <i>
      <x v="82"/>
    </i>
    <i>
      <x v="125"/>
    </i>
    <i>
      <x v="124"/>
    </i>
    <i>
      <x v="20"/>
    </i>
    <i>
      <x/>
    </i>
    <i>
      <x v="76"/>
    </i>
    <i>
      <x v="7"/>
    </i>
    <i>
      <x v="54"/>
    </i>
    <i>
      <x v="133"/>
    </i>
    <i>
      <x v="137"/>
    </i>
    <i>
      <x v="107"/>
    </i>
    <i>
      <x v="98"/>
    </i>
    <i>
      <x v="115"/>
    </i>
    <i>
      <x v="95"/>
    </i>
    <i>
      <x v="16"/>
    </i>
    <i>
      <x v="47"/>
    </i>
    <i>
      <x v="5"/>
    </i>
    <i>
      <x v="60"/>
    </i>
    <i>
      <x v="92"/>
    </i>
    <i>
      <x v="2"/>
    </i>
    <i>
      <x v="21"/>
    </i>
    <i>
      <x v="108"/>
    </i>
    <i>
      <x v="12"/>
    </i>
    <i>
      <x v="119"/>
    </i>
    <i>
      <x v="25"/>
    </i>
    <i>
      <x v="8"/>
    </i>
    <i>
      <x v="106"/>
    </i>
    <i>
      <x v="14"/>
    </i>
    <i>
      <x v="90"/>
    </i>
    <i>
      <x v="26"/>
    </i>
    <i>
      <x v="15"/>
    </i>
    <i>
      <x v="6"/>
    </i>
    <i>
      <x v="32"/>
    </i>
    <i>
      <x v="55"/>
    </i>
    <i>
      <x v="29"/>
    </i>
    <i>
      <x v="97"/>
    </i>
    <i>
      <x v="13"/>
    </i>
    <i>
      <x v="4"/>
    </i>
    <i>
      <x v="10"/>
    </i>
    <i>
      <x v="23"/>
    </i>
    <i>
      <x v="103"/>
    </i>
    <i>
      <x v="96"/>
    </i>
    <i>
      <x v="18"/>
    </i>
    <i>
      <x v="113"/>
    </i>
    <i>
      <x v="22"/>
    </i>
    <i>
      <x v="28"/>
    </i>
    <i>
      <x v="104"/>
    </i>
    <i>
      <x v="102"/>
    </i>
    <i>
      <x v="94"/>
    </i>
    <i>
      <x v="118"/>
    </i>
    <i>
      <x v="19"/>
    </i>
    <i>
      <x v="116"/>
    </i>
    <i>
      <x v="30"/>
    </i>
    <i>
      <x v="140"/>
    </i>
    <i>
      <x v="136"/>
    </i>
    <i>
      <x v="42"/>
    </i>
    <i>
      <x v="144"/>
    </i>
    <i>
      <x v="38"/>
    </i>
    <i>
      <x v="48"/>
    </i>
    <i>
      <x v="35"/>
    </i>
    <i>
      <x v="37"/>
    </i>
    <i>
      <x v="138"/>
    </i>
    <i>
      <x v="49"/>
    </i>
    <i>
      <x v="142"/>
    </i>
    <i>
      <x v="44"/>
    </i>
    <i>
      <x v="33"/>
    </i>
    <i>
      <x v="120"/>
    </i>
    <i>
      <x v="131"/>
    </i>
    <i>
      <x v="121"/>
    </i>
    <i>
      <x v="52"/>
    </i>
    <i>
      <x v="122"/>
    </i>
    <i>
      <x v="135"/>
    </i>
    <i>
      <x v="123"/>
    </i>
    <i>
      <x v="149"/>
    </i>
    <i>
      <x v="50"/>
    </i>
    <i>
      <x v="139"/>
    </i>
    <i>
      <x v="43"/>
    </i>
    <i>
      <x v="141"/>
    </i>
    <i>
      <x v="126"/>
    </i>
    <i>
      <x v="143"/>
    </i>
    <i>
      <x v="127"/>
    </i>
    <i>
      <x v="145"/>
    </i>
    <i>
      <x v="146"/>
    </i>
    <i>
      <x v="147"/>
    </i>
    <i>
      <x v="148"/>
    </i>
    <i>
      <x v="129"/>
    </i>
    <i>
      <x v="130"/>
    </i>
    <i>
      <x v="36"/>
    </i>
    <i t="grand">
      <x/>
    </i>
  </rowItems>
  <colItems count="1">
    <i/>
  </colItems>
  <dataFields count="1">
    <dataField name="Sum of Sales"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C5F8B0B-6BAB-4955-B6B1-07AEED8CFC9B}" sourceName="Segment">
  <pivotTables>
    <pivotTable tabId="8" name="Sales by Product"/>
    <pivotTable tabId="8" name="Sales by Country"/>
    <pivotTable tabId="8" name="Sales by Market"/>
    <pivotTable tabId="8" name="Sales by Segment"/>
    <pivotTable tabId="8" name="Sales-Profit-Discount"/>
    <pivotTable tabId="8" name="SegmentProfit"/>
    <pivotTable tabId="8" name="MarketProfit"/>
    <pivotTable tabId="8" name="CountryProfit"/>
    <pivotTable tabId="8" name="Discount effect on Sales"/>
    <pivotTable tabId="8" name="ProductProfit"/>
    <pivotTable tabId="8" name="ProfitDB"/>
    <pivotTable tabId="8" name="TimeProfitProfitRaio"/>
    <pivotTable tabId="8" name="Max_Sales"/>
    <pivotTable tabId="8" name="PivotTable12"/>
    <pivotTable tabId="8" name="Min_Profit"/>
    <pivotTable tabId="8" name="Min_Sales"/>
    <pivotTable tabId="8" name="PivotTable10"/>
    <pivotTable tabId="8" name="PivotTable11"/>
    <pivotTable tabId="8" name="PivotTable18"/>
    <pivotTable tabId="8" name="SalesPerf"/>
    <pivotTable tabId="8" name="ProfitCountry"/>
    <pivotTable tabId="8" name="PivotTable19"/>
    <pivotTable tabId="8" name="Sales by Time"/>
  </pivotTables>
  <data>
    <tabular pivotCacheId="1944036113">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261C471-5405-487D-81FD-AB880A928D14}" sourceName="Country">
  <pivotTables>
    <pivotTable tabId="8" name="Sales by Product"/>
    <pivotTable tabId="8" name="Sales by Country"/>
    <pivotTable tabId="8" name="Sales by Market"/>
    <pivotTable tabId="8" name="Sales by Segment"/>
    <pivotTable tabId="8" name="Sales-Profit-Discount"/>
    <pivotTable tabId="8" name="SegmentProfit"/>
    <pivotTable tabId="8" name="MarketProfit"/>
    <pivotTable tabId="8" name="CountryProfit"/>
    <pivotTable tabId="8" name="Discount effect on Sales"/>
    <pivotTable tabId="8" name="ProductProfit"/>
    <pivotTable tabId="8" name="ProfitDB"/>
    <pivotTable tabId="8" name="TimeProfitProfitRaio"/>
    <pivotTable tabId="8" name="Max_Sales"/>
    <pivotTable tabId="8" name="PivotTable12"/>
    <pivotTable tabId="8" name="Min_Profit"/>
    <pivotTable tabId="8" name="Min_Sales"/>
    <pivotTable tabId="8" name="PivotTable10"/>
    <pivotTable tabId="8" name="PivotTable11"/>
    <pivotTable tabId="8" name="PivotTable18"/>
    <pivotTable tabId="8" name="Maxico_Seg_Sales"/>
    <pivotTable tabId="8" name="SalesPerf"/>
    <pivotTable tabId="8" name="ProfitCountry"/>
    <pivotTable tabId="8" name="PivotTable19"/>
    <pivotTable tabId="8" name="Sales by Time"/>
  </pivotTables>
  <data>
    <tabular pivotCacheId="1944036113">
      <items count="5">
        <i x="4" s="1"/>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1B12FF23-1CAB-43D7-A261-FEC1440B0907}" sourceName="Market">
  <pivotTables>
    <pivotTable tabId="8" name="Sales by Product"/>
    <pivotTable tabId="8" name="Sales by Country"/>
    <pivotTable tabId="8" name="Sales by Market"/>
    <pivotTable tabId="8" name="Sales by Segment"/>
    <pivotTable tabId="8" name="Sales-Profit-Discount"/>
    <pivotTable tabId="8" name="SegmentProfit"/>
    <pivotTable tabId="8" name="MarketProfit"/>
    <pivotTable tabId="8" name="CountryProfit"/>
    <pivotTable tabId="8" name="Discount effect on Sales"/>
    <pivotTable tabId="8" name="ProductProfit"/>
    <pivotTable tabId="8" name="ProfitDB"/>
    <pivotTable tabId="8" name="TimeProfitProfitRaio"/>
    <pivotTable tabId="8" name="Max_Sales"/>
    <pivotTable tabId="8" name="PivotTable12"/>
    <pivotTable tabId="8" name="Min_Profit"/>
    <pivotTable tabId="8" name="Min_Sales"/>
    <pivotTable tabId="8" name="PivotTable10"/>
    <pivotTable tabId="8" name="PivotTable11"/>
    <pivotTable tabId="8" name="PivotTable18"/>
    <pivotTable tabId="8" name="SalesPerf"/>
    <pivotTable tabId="8" name="ProfitCountry"/>
    <pivotTable tabId="8" name="PivotTable19"/>
  </pivotTables>
  <data>
    <tabular pivotCacheId="1944036113">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94C489C-0ADC-46ED-8B4C-E6ECACBE7320}" sourceName="Product">
  <pivotTables>
    <pivotTable tabId="8" name="SegmentProfit"/>
    <pivotTable tabId="8" name="MarketProfit"/>
    <pivotTable tabId="8" name="CountryProfit"/>
    <pivotTable tabId="8" name="ProductProfit"/>
    <pivotTable tabId="8" name="ProfitDB"/>
    <pivotTable tabId="8" name="TimeProfitProfitRaio"/>
    <pivotTable tabId="8" name="Discount effect on Sales"/>
    <pivotTable tabId="8" name="Sales by Country"/>
    <pivotTable tabId="8" name="Sales by Market"/>
    <pivotTable tabId="8" name="Sales by Product"/>
    <pivotTable tabId="8" name="Sales by Segment"/>
    <pivotTable tabId="8" name="Sales-Profit-Discount"/>
    <pivotTable tabId="8" name="Sales by Time"/>
    <pivotTable tabId="8" name="Max_Sales"/>
    <pivotTable tabId="8" name="PivotTable12"/>
    <pivotTable tabId="8" name="Min_Profit"/>
    <pivotTable tabId="8" name="Min_Sales"/>
    <pivotTable tabId="8" name="PivotTable10"/>
    <pivotTable tabId="8" name="PivotTable11"/>
    <pivotTable tabId="8" name="US_Seg_Sales"/>
    <pivotTable tabId="8" name="Canada_Seg_Sales"/>
    <pivotTable tabId="8" name="France_Seg_Sales"/>
    <pivotTable tabId="8" name="Germany_Seg_Sales"/>
    <pivotTable tabId="8" name="Maxico_Seg_Sales"/>
    <pivotTable tabId="8" name="PivotTable23"/>
    <pivotTable tabId="8" name="PivotTable13"/>
    <pivotTable tabId="8" name="PivotTable14"/>
    <pivotTable tabId="8" name="PivotTable15"/>
    <pivotTable tabId="8" name="PivotTable16"/>
    <pivotTable tabId="8" name="PivotTable18"/>
    <pivotTable tabId="8" name="SalesPerf"/>
    <pivotTable tabId="8" name="ProfitCountry"/>
    <pivotTable tabId="8" name="PivotTable19"/>
  </pivotTables>
  <data>
    <tabular pivotCacheId="1944036113">
      <items count="6">
        <i x="1" s="1"/>
        <i x="2" s="1"/>
        <i x="3" s="1"/>
        <i x="0"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7EE0DEF4-6EDF-407C-A2BB-CD9C039A6E67}" cache="Slicer_Segment" caption="Segment" columnCount="3" style="SlicerStyleLight1 2" rowHeight="225425"/>
  <slicer name="Country 1" xr10:uid="{36ABE512-036C-42B3-8CC7-DC838DEE732B}" cache="Slicer_Country" caption="Country" columnCount="3" style="SlicerStyleLight1 2" rowHeight="225425"/>
  <slicer name="Market 1" xr10:uid="{7AFCC424-B2DD-4711-A9BB-178EC4EAA0AC}" cache="Slicer_Market" caption="Market" style="SlicerStyleLight1 2" rowHeight="225425"/>
  <slicer name="Product 1" xr10:uid="{CA935596-A14D-4304-9413-0E9EE5BFBBBD}" cache="Slicer_Product" caption="Product" columnCount="3" style="SlicerStyleLight1 2"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99CF1C83-7FEB-4D76-942A-90A77A4A2967}" cache="Slicer_Segment" caption="Segment" columnCount="3" style="SlicerStyleLight1 2" rowHeight="225425"/>
  <slicer name="Country 2" xr10:uid="{C7CDAAE8-9C3A-4DFE-9425-38FEFDA30CDF}" cache="Slicer_Country" caption="Country" columnCount="3" style="SlicerStyleLight1 2" rowHeight="225425"/>
  <slicer name="Market 2" xr10:uid="{F5DAD3C4-502A-440A-8623-7951E3854BF7}" cache="Slicer_Market" caption="Market" style="SlicerStyleLight1 2" rowHeight="225425"/>
  <slicer name="Product 2" xr10:uid="{46DECA18-E775-451E-8B1C-D403D3B13A79}" cache="Slicer_Product" caption="Product" columnCount="3" style="SlicerStyleLight1 2"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7" xr10:uid="{51F05852-567C-4BAD-8BAA-05C0C3897A8D}" cache="Slicer_Product" caption="Product" columnCount="6" style="SlicerStyleLight1 2"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FE7D98-AA98-401C-AD54-F0C6364C8629}" name="DataTable" displayName="DataTable" ref="A3:S703" totalsRowShown="0">
  <autoFilter ref="A3:S703" xr:uid="{4F486543-1ABC-42E3-AB6B-120B1A175240}">
    <filterColumn colId="11">
      <filters>
        <filter val="High"/>
      </filters>
    </filterColumn>
  </autoFilter>
  <tableColumns count="19">
    <tableColumn id="17" xr3:uid="{0CD5A856-C2F2-4054-A97E-F08DB21812DC}" name="Date" dataDxfId="29"/>
    <tableColumn id="12" xr3:uid="{50980D72-3047-452A-9FF7-AC0AD24B026D}" name="Product" dataDxfId="28"/>
    <tableColumn id="10" xr3:uid="{AB9F3012-E096-4E6F-8C72-5489B234D970}" name="Segment" dataDxfId="27"/>
    <tableColumn id="11" xr3:uid="{9F6F7ED3-0D02-4BB0-8AAC-611197ACA56B}" name="Country" dataDxfId="26"/>
    <tableColumn id="14" xr3:uid="{E3E13A8D-3749-4961-8CF3-8A804FD2D7BB}" name="Market" dataDxfId="25">
      <calculatedColumnFormula>VLOOKUP(DataTable[[#This Row],[Country]],Market!B:C,2,FALSE)</calculatedColumnFormula>
    </tableColumn>
    <tableColumn id="3" xr3:uid="{8AA2775C-7180-4D37-A29A-86AB5EDBC489}" name="Manufacturing Price" dataDxfId="24"/>
    <tableColumn id="8" xr3:uid="{1436BB3E-1DAD-4029-9B4C-42DBC90E19E2}" name="COGS" dataDxfId="23"/>
    <tableColumn id="4" xr3:uid="{D315E1E2-8DB1-4E50-BD60-B1D33283DD90}" name="Sale Price" dataDxfId="22"/>
    <tableColumn id="2" xr3:uid="{3B47828F-5407-450D-823D-C52A889E3832}" name="Units Sold" dataDxfId="21"/>
    <tableColumn id="5" xr3:uid="{D891F67F-45F6-4B85-9E5C-3B32B85537DC}" name="Gross Sales" dataDxfId="20"/>
    <tableColumn id="6" xr3:uid="{6E29DE83-4781-4F88-8EB7-9D014706529C}" name="Discounts" dataDxfId="19"/>
    <tableColumn id="1" xr3:uid="{B02DAB6F-582E-4DA5-879A-D756057A9847}" name="Discount Band" dataDxfId="18"/>
    <tableColumn id="7" xr3:uid="{AD2AF06F-FC13-4645-B69E-E398F8358892}" name="Sales" dataDxfId="17"/>
    <tableColumn id="13" xr3:uid="{477C25A9-55C9-4832-9EB2-93DDEE1523AF}" name="Profit" dataDxfId="16">
      <calculatedColumnFormula>M4-G4</calculatedColumnFormula>
    </tableColumn>
    <tableColumn id="15" xr3:uid="{1027F2A8-DB5F-4193-8109-AD8034CE249E}" name="Profit Target" dataDxfId="15">
      <calculatedColumnFormula>IF(DataTable[[#This Row],[Profit]]/DataTable[[#This Row],[COGS]]*100&gt;20,"Achived","Not Achived")</calculatedColumnFormula>
    </tableColumn>
    <tableColumn id="9" xr3:uid="{7FD066C9-32DC-4041-A3F1-B28EB2AA8673}" name="Profit Ratio" dataDxfId="14">
      <calculatedColumnFormula>DataTable[[#This Row],[Profit]]/DataTable[[#This Row],[COGS]]</calculatedColumnFormula>
    </tableColumn>
    <tableColumn id="16" xr3:uid="{CEAA10F4-A72B-4AC2-8A25-43ABDAE916D9}" name="MC_US" dataDxfId="13">
      <calculatedColumnFormula>DataTable[[#This Row],[Manufacturing Price]]*DataTable[[#This Row],[Units Sold]]</calculatedColumnFormula>
    </tableColumn>
    <tableColumn id="18" xr3:uid="{A34682D5-49E2-46D8-B8D4-2FEF7B9D3EF9}" name="COGS-MC_US" dataDxfId="12">
      <calculatedColumnFormula>DataTable[[#This Row],[COGS]]-DataTable[[#This Row],[MC_US]]</calculatedColumnFormula>
    </tableColumn>
    <tableColumn id="19" xr3:uid="{A82C2CE0-314A-4B11-9755-4874B7EF22D0}" name="Corr Manufacturing" dataDxfId="11">
      <calculatedColumnFormula>IF(DataTable[[#This Row],[COGS-MC_US]]&gt;=0,DataTable[[#This Row],[Manufacturing Price]],DataTable[[#This Row],[COGS]]/DataTable[[#This Row],[Units Sold]])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3745D6-EE81-41C0-9BC0-7695E9EFAC46}" name="Table2" displayName="Table2" ref="A3:K703" totalsRowShown="0" dataDxfId="10">
  <autoFilter ref="A3:K703" xr:uid="{DCE16D83-A07C-4B39-9E55-7530F9193AB5}"/>
  <tableColumns count="11">
    <tableColumn id="1" xr3:uid="{6B5295B5-1252-4D3D-BE2A-5B243F3DF03E}" name="Product" dataDxfId="9"/>
    <tableColumn id="2" xr3:uid="{EB1D73EA-CBE1-4F0A-8783-4B41CDE2FBA5}" name="Discount Band" dataDxfId="8"/>
    <tableColumn id="3" xr3:uid="{FBA14A59-BB8C-4348-8BFF-55E898483E31}" name="Units Sold" dataDxfId="7"/>
    <tableColumn id="4" xr3:uid="{3A1EC123-0B1B-42F3-BA2A-B44DFDF01B83}" name="Manufacturing Price" dataDxfId="6"/>
    <tableColumn id="5" xr3:uid="{61DAE46A-ACDA-4596-9BBC-00B9E7255D84}" name="Sale Price" dataDxfId="5"/>
    <tableColumn id="6" xr3:uid="{54232B8D-D8F3-4522-9C89-D25D30FD4F36}" name="Gross Sales" dataDxfId="4"/>
    <tableColumn id="7" xr3:uid="{C358D7E6-34F6-4939-8EA2-749B05255997}" name="Discounts" dataDxfId="3"/>
    <tableColumn id="8" xr3:uid="{E9817B8E-40A9-4908-90CB-97F4130013B7}" name="Sales" dataDxfId="2"/>
    <tableColumn id="9" xr3:uid="{383556FB-6B87-48C0-A5FC-35437CD36C8E}" name="COGS" dataDxfId="1"/>
    <tableColumn id="10" xr3:uid="{E662593C-8D81-4257-9B08-D8EA9B399C90}" name="Date(dd/mm/yyyy)" dataDxfId="0"/>
    <tableColumn id="11" xr3:uid="{AFD23F39-DD2C-4729-8644-F6D7A02FA859}" name="Column1">
      <calculatedColumnFormula>_xlfn.NUMBERVALUE(SUBSTITUTE(H4,"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9" Type="http://schemas.openxmlformats.org/officeDocument/2006/relationships/pivotTable" Target="../pivotTables/pivotTable39.xml"/><Relationship Id="rId21" Type="http://schemas.openxmlformats.org/officeDocument/2006/relationships/pivotTable" Target="../pivotTables/pivotTable21.xml"/><Relationship Id="rId34" Type="http://schemas.openxmlformats.org/officeDocument/2006/relationships/pivotTable" Target="../pivotTables/pivotTable34.xml"/><Relationship Id="rId42" Type="http://schemas.openxmlformats.org/officeDocument/2006/relationships/pivotTable" Target="../pivotTables/pivotTable42.xml"/><Relationship Id="rId47" Type="http://schemas.openxmlformats.org/officeDocument/2006/relationships/pivotTable" Target="../pivotTables/pivotTable47.xml"/><Relationship Id="rId50" Type="http://schemas.openxmlformats.org/officeDocument/2006/relationships/pivotTable" Target="../pivotTables/pivotTable50.xml"/><Relationship Id="rId7" Type="http://schemas.openxmlformats.org/officeDocument/2006/relationships/pivotTable" Target="../pivotTables/pivotTable7.xml"/><Relationship Id="rId2" Type="http://schemas.openxmlformats.org/officeDocument/2006/relationships/pivotTable" Target="../pivotTables/pivotTable2.xml"/><Relationship Id="rId16" Type="http://schemas.openxmlformats.org/officeDocument/2006/relationships/pivotTable" Target="../pivotTables/pivotTable16.xml"/><Relationship Id="rId29" Type="http://schemas.openxmlformats.org/officeDocument/2006/relationships/pivotTable" Target="../pivotTables/pivotTable29.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37" Type="http://schemas.openxmlformats.org/officeDocument/2006/relationships/pivotTable" Target="../pivotTables/pivotTable37.xml"/><Relationship Id="rId40" Type="http://schemas.openxmlformats.org/officeDocument/2006/relationships/pivotTable" Target="../pivotTables/pivotTable40.xml"/><Relationship Id="rId45" Type="http://schemas.openxmlformats.org/officeDocument/2006/relationships/pivotTable" Target="../pivotTables/pivotTable45.xml"/><Relationship Id="rId53" Type="http://schemas.openxmlformats.org/officeDocument/2006/relationships/drawing" Target="../drawings/drawing5.xml"/><Relationship Id="rId5" Type="http://schemas.openxmlformats.org/officeDocument/2006/relationships/pivotTable" Target="../pivotTables/pivotTable5.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4" Type="http://schemas.openxmlformats.org/officeDocument/2006/relationships/pivotTable" Target="../pivotTables/pivotTable44.xml"/><Relationship Id="rId52" Type="http://schemas.openxmlformats.org/officeDocument/2006/relationships/printerSettings" Target="../printerSettings/printerSettings5.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43" Type="http://schemas.openxmlformats.org/officeDocument/2006/relationships/pivotTable" Target="../pivotTables/pivotTable43.xml"/><Relationship Id="rId48" Type="http://schemas.openxmlformats.org/officeDocument/2006/relationships/pivotTable" Target="../pivotTables/pivotTable48.xml"/><Relationship Id="rId8" Type="http://schemas.openxmlformats.org/officeDocument/2006/relationships/pivotTable" Target="../pivotTables/pivotTable8.xml"/><Relationship Id="rId51" Type="http://schemas.openxmlformats.org/officeDocument/2006/relationships/pivotTable" Target="../pivotTables/pivotTable51.xml"/><Relationship Id="rId3" Type="http://schemas.openxmlformats.org/officeDocument/2006/relationships/pivotTable" Target="../pivotTables/pivotTable3.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38" Type="http://schemas.openxmlformats.org/officeDocument/2006/relationships/pivotTable" Target="../pivotTables/pivotTable38.xml"/><Relationship Id="rId46" Type="http://schemas.openxmlformats.org/officeDocument/2006/relationships/pivotTable" Target="../pivotTables/pivotTable46.xml"/><Relationship Id="rId20" Type="http://schemas.openxmlformats.org/officeDocument/2006/relationships/pivotTable" Target="../pivotTables/pivotTable20.xml"/><Relationship Id="rId41" Type="http://schemas.openxmlformats.org/officeDocument/2006/relationships/pivotTable" Target="../pivotTables/pivotTable41.xml"/><Relationship Id="rId1" Type="http://schemas.openxmlformats.org/officeDocument/2006/relationships/pivotTable" Target="../pivotTables/pivotTable1.xml"/><Relationship Id="rId6" Type="http://schemas.openxmlformats.org/officeDocument/2006/relationships/pivotTable" Target="../pivotTables/pivotTable6.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pivotTable" Target="../pivotTables/pivotTable36.xml"/><Relationship Id="rId49" Type="http://schemas.openxmlformats.org/officeDocument/2006/relationships/pivotTable" Target="../pivotTables/pivotTable49.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AD8EF-1C75-49B9-A646-EE018F358A3C}">
  <sheetPr>
    <tabColor rgb="FF800080"/>
  </sheetPr>
  <dimension ref="A1"/>
  <sheetViews>
    <sheetView showGridLines="0" showRowColHeaders="0" tabSelected="1" zoomScaleNormal="100" workbookViewId="0"/>
  </sheetViews>
  <sheetFormatPr defaultRowHeight="12.75" x14ac:dyDescent="0.2"/>
  <sheetData/>
  <pageMargins left="0.7" right="0.7" top="0.75" bottom="0.75" header="0.3" footer="0.3"/>
  <pageSetup paperSize="9" orientation="portrait" r:id="rId1"/>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D4477-48EA-477B-9820-AE1F87316D7E}">
  <sheetPr>
    <tabColor rgb="FF800080"/>
  </sheetPr>
  <dimension ref="A1"/>
  <sheetViews>
    <sheetView showGridLines="0" showRowColHeaders="0" zoomScaleNormal="100" workbookViewId="0"/>
  </sheetViews>
  <sheetFormatPr defaultRowHeight="12.75" x14ac:dyDescent="0.2"/>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EC870-E4A4-4B05-8E14-82A21D74ABFD}">
  <sheetPr>
    <tabColor rgb="FF800080"/>
  </sheetPr>
  <dimension ref="A1"/>
  <sheetViews>
    <sheetView showGridLines="0" showRowColHeaders="0" zoomScaleNormal="100" workbookViewId="0"/>
  </sheetViews>
  <sheetFormatPr defaultRowHeight="12.75" x14ac:dyDescent="0.2"/>
  <sheetData/>
  <sheetProtection password="C8D5" sheet="1" objects="1" scenarios="1"/>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9C5CC-F7B1-4603-942D-2049B569A6F8}">
  <sheetPr>
    <tabColor rgb="FF800080"/>
  </sheetPr>
  <dimension ref="A1"/>
  <sheetViews>
    <sheetView showGridLines="0" showRowColHeaders="0" zoomScaleNormal="100" workbookViewId="0"/>
  </sheetViews>
  <sheetFormatPr defaultRowHeight="12.75" x14ac:dyDescent="0.2"/>
  <sheetData/>
  <sheetProtection password="C8D5" sheet="1" objects="1" scenarios="1"/>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D1031-46DA-4EB7-86A8-CDA9721A7008}">
  <dimension ref="A1:BB966"/>
  <sheetViews>
    <sheetView topLeftCell="A143" zoomScaleNormal="100" workbookViewId="0">
      <selection activeCell="H163" sqref="H163"/>
    </sheetView>
  </sheetViews>
  <sheetFormatPr defaultRowHeight="12.75" x14ac:dyDescent="0.2"/>
  <cols>
    <col min="1" max="1" width="13.85546875" bestFit="1" customWidth="1"/>
    <col min="2" max="2" width="13.140625" bestFit="1" customWidth="1"/>
    <col min="3" max="3" width="13.5703125" bestFit="1" customWidth="1"/>
    <col min="4" max="4" width="8.85546875" bestFit="1" customWidth="1"/>
    <col min="5" max="6" width="9" bestFit="1" customWidth="1"/>
    <col min="7" max="7" width="7" bestFit="1" customWidth="1"/>
    <col min="8" max="8" width="11.7109375" bestFit="1" customWidth="1"/>
    <col min="9" max="9" width="11" bestFit="1" customWidth="1"/>
    <col min="10" max="10" width="12.140625" bestFit="1" customWidth="1"/>
    <col min="11" max="11" width="10.5703125" bestFit="1" customWidth="1"/>
    <col min="12" max="12" width="14.85546875" bestFit="1" customWidth="1"/>
    <col min="13" max="13" width="12.42578125" bestFit="1" customWidth="1"/>
    <col min="14" max="14" width="16.85546875" bestFit="1" customWidth="1"/>
    <col min="15" max="15" width="11" bestFit="1" customWidth="1"/>
    <col min="16" max="16" width="12.140625" bestFit="1" customWidth="1"/>
    <col min="17" max="17" width="10.5703125" bestFit="1" customWidth="1"/>
    <col min="18" max="18" width="14.85546875" bestFit="1" customWidth="1"/>
    <col min="19" max="19" width="14.5703125" bestFit="1" customWidth="1"/>
    <col min="20" max="20" width="16.85546875" bestFit="1" customWidth="1"/>
    <col min="21" max="21" width="11" bestFit="1" customWidth="1"/>
    <col min="22" max="22" width="12.140625" bestFit="1" customWidth="1"/>
    <col min="23" max="23" width="10.5703125" bestFit="1" customWidth="1"/>
    <col min="24" max="24" width="14.85546875" bestFit="1" customWidth="1"/>
    <col min="25" max="25" width="12.7109375" bestFit="1" customWidth="1"/>
    <col min="26" max="26" width="25.85546875" bestFit="1" customWidth="1"/>
    <col min="27" max="27" width="10.140625" bestFit="1" customWidth="1"/>
    <col min="28" max="28" width="12.140625" bestFit="1" customWidth="1"/>
    <col min="29" max="29" width="10.5703125" bestFit="1" customWidth="1"/>
    <col min="30" max="30" width="14.85546875" bestFit="1" customWidth="1"/>
    <col min="31" max="31" width="29.140625" bestFit="1" customWidth="1"/>
    <col min="32" max="32" width="12" bestFit="1" customWidth="1"/>
    <col min="33" max="33" width="18.28515625" bestFit="1" customWidth="1"/>
    <col min="34" max="34" width="27.28515625" bestFit="1" customWidth="1"/>
    <col min="35" max="35" width="11.140625" bestFit="1" customWidth="1"/>
    <col min="36" max="36" width="10" bestFit="1" customWidth="1"/>
    <col min="37" max="37" width="8.85546875" bestFit="1" customWidth="1"/>
    <col min="38" max="39" width="10" bestFit="1" customWidth="1"/>
    <col min="40" max="41" width="8.85546875" bestFit="1" customWidth="1"/>
    <col min="42" max="43" width="11.140625" bestFit="1" customWidth="1"/>
    <col min="44" max="44" width="22" bestFit="1" customWidth="1"/>
    <col min="45" max="45" width="10" bestFit="1" customWidth="1"/>
    <col min="46" max="46" width="7" bestFit="1" customWidth="1"/>
    <col min="47" max="48" width="6.7109375" bestFit="1" customWidth="1"/>
    <col min="49" max="49" width="10" bestFit="1" customWidth="1"/>
    <col min="50" max="50" width="10.42578125" bestFit="1" customWidth="1"/>
    <col min="51" max="51" width="7.5703125" bestFit="1" customWidth="1"/>
    <col min="52" max="52" width="10" bestFit="1" customWidth="1"/>
    <col min="53" max="53" width="7" bestFit="1" customWidth="1"/>
    <col min="54" max="54" width="4.7109375" bestFit="1" customWidth="1"/>
    <col min="55" max="55" width="6.7109375" bestFit="1" customWidth="1"/>
    <col min="56" max="56" width="10" bestFit="1" customWidth="1"/>
    <col min="57" max="57" width="7" bestFit="1" customWidth="1"/>
    <col min="58" max="58" width="6.7109375" bestFit="1" customWidth="1"/>
    <col min="59" max="59" width="10" bestFit="1" customWidth="1"/>
    <col min="60" max="60" width="7" bestFit="1" customWidth="1"/>
    <col min="61" max="62" width="6.7109375" bestFit="1" customWidth="1"/>
    <col min="63" max="63" width="10" bestFit="1" customWidth="1"/>
    <col min="64" max="64" width="10.42578125" bestFit="1" customWidth="1"/>
    <col min="65" max="65" width="18.42578125" bestFit="1" customWidth="1"/>
    <col min="66" max="66" width="18.28515625" bestFit="1" customWidth="1"/>
    <col min="67" max="67" width="27.28515625" bestFit="1" customWidth="1"/>
  </cols>
  <sheetData>
    <row r="1" spans="1:3" ht="18" x14ac:dyDescent="0.2">
      <c r="A1" s="23" t="s">
        <v>421</v>
      </c>
    </row>
    <row r="3" spans="1:3" x14ac:dyDescent="0.2">
      <c r="A3" s="17" t="s">
        <v>404</v>
      </c>
      <c r="B3" t="s">
        <v>403</v>
      </c>
    </row>
    <row r="4" spans="1:3" x14ac:dyDescent="0.2">
      <c r="A4" s="18" t="s">
        <v>292</v>
      </c>
      <c r="B4" s="19">
        <v>47859513.110000014</v>
      </c>
    </row>
    <row r="5" spans="1:3" x14ac:dyDescent="0.2">
      <c r="A5" s="18" t="s">
        <v>337</v>
      </c>
      <c r="B5" s="19">
        <v>70866837.179999992</v>
      </c>
    </row>
    <row r="6" spans="1:3" x14ac:dyDescent="0.2">
      <c r="A6" s="18" t="s">
        <v>405</v>
      </c>
      <c r="B6" s="19">
        <v>118726350.29000001</v>
      </c>
    </row>
    <row r="14" spans="1:3" ht="18" x14ac:dyDescent="0.2">
      <c r="A14" s="23" t="s">
        <v>422</v>
      </c>
    </row>
    <row r="16" spans="1:3" x14ac:dyDescent="0.2">
      <c r="A16" s="17" t="s">
        <v>404</v>
      </c>
      <c r="B16" t="s">
        <v>403</v>
      </c>
      <c r="C16" t="s">
        <v>406</v>
      </c>
    </row>
    <row r="17" spans="1:3" x14ac:dyDescent="0.2">
      <c r="A17" s="18" t="s">
        <v>359</v>
      </c>
      <c r="B17" s="19">
        <v>25029830.18</v>
      </c>
      <c r="C17" s="19">
        <v>2995540.6799999997</v>
      </c>
    </row>
    <row r="18" spans="1:3" x14ac:dyDescent="0.2">
      <c r="A18" s="18" t="s">
        <v>341</v>
      </c>
      <c r="B18" s="19">
        <v>24887654.889999993</v>
      </c>
      <c r="C18" s="19">
        <v>3529228.89</v>
      </c>
    </row>
    <row r="19" spans="1:3" x14ac:dyDescent="0.2">
      <c r="A19" s="18" t="s">
        <v>304</v>
      </c>
      <c r="B19" s="19">
        <v>24354172.289999995</v>
      </c>
      <c r="C19" s="19">
        <v>3781020.79</v>
      </c>
    </row>
    <row r="20" spans="1:3" x14ac:dyDescent="0.2">
      <c r="A20" s="18" t="s">
        <v>305</v>
      </c>
      <c r="B20" s="19">
        <v>23505340.82</v>
      </c>
      <c r="C20" s="19">
        <v>3680388.8200000012</v>
      </c>
    </row>
    <row r="21" spans="1:3" x14ac:dyDescent="0.2">
      <c r="A21" s="18" t="s">
        <v>352</v>
      </c>
      <c r="B21" s="19">
        <v>20949352.109999999</v>
      </c>
      <c r="C21" s="19">
        <v>2907523.1100000003</v>
      </c>
    </row>
    <row r="22" spans="1:3" x14ac:dyDescent="0.2">
      <c r="A22" s="18" t="s">
        <v>405</v>
      </c>
      <c r="B22" s="19">
        <v>118726350.28999999</v>
      </c>
      <c r="C22" s="19">
        <v>16893702.289999999</v>
      </c>
    </row>
    <row r="28" spans="1:3" x14ac:dyDescent="0.2">
      <c r="A28" s="16" t="s">
        <v>423</v>
      </c>
    </row>
    <row r="29" spans="1:3" x14ac:dyDescent="0.2">
      <c r="A29" s="17" t="s">
        <v>404</v>
      </c>
      <c r="B29" t="s">
        <v>403</v>
      </c>
      <c r="C29" s="17"/>
    </row>
    <row r="30" spans="1:3" x14ac:dyDescent="0.2">
      <c r="A30" s="18" t="s">
        <v>392</v>
      </c>
      <c r="B30" s="19">
        <v>1800593.6399999997</v>
      </c>
    </row>
    <row r="31" spans="1:3" x14ac:dyDescent="0.2">
      <c r="A31" s="18" t="s">
        <v>390</v>
      </c>
      <c r="B31" s="19">
        <v>2381883.09</v>
      </c>
    </row>
    <row r="32" spans="1:3" x14ac:dyDescent="0.2">
      <c r="A32" s="18" t="s">
        <v>393</v>
      </c>
      <c r="B32" s="19">
        <v>19611694.380000003</v>
      </c>
    </row>
    <row r="33" spans="1:2" x14ac:dyDescent="0.2">
      <c r="A33" s="18" t="s">
        <v>394</v>
      </c>
      <c r="B33" s="19">
        <v>42427918.5</v>
      </c>
    </row>
    <row r="34" spans="1:2" x14ac:dyDescent="0.2">
      <c r="A34" s="18" t="s">
        <v>388</v>
      </c>
      <c r="B34" s="19">
        <v>52504260.680000022</v>
      </c>
    </row>
    <row r="35" spans="1:2" x14ac:dyDescent="0.2">
      <c r="A35" s="18" t="s">
        <v>405</v>
      </c>
      <c r="B35" s="19">
        <v>118726350.29000002</v>
      </c>
    </row>
    <row r="48" spans="1:2" ht="18" x14ac:dyDescent="0.2">
      <c r="A48" s="23" t="s">
        <v>424</v>
      </c>
    </row>
    <row r="50" spans="1:3" x14ac:dyDescent="0.2">
      <c r="A50" s="36" t="s">
        <v>404</v>
      </c>
      <c r="B50" s="36" t="s">
        <v>403</v>
      </c>
      <c r="C50" s="36" t="s">
        <v>447</v>
      </c>
    </row>
    <row r="51" spans="1:3" x14ac:dyDescent="0.2">
      <c r="A51" s="37" t="s">
        <v>408</v>
      </c>
      <c r="B51" s="38">
        <v>26415255.509999998</v>
      </c>
      <c r="C51" s="38">
        <v>22536791</v>
      </c>
    </row>
    <row r="52" spans="1:3" x14ac:dyDescent="0.2">
      <c r="A52" s="42" t="s">
        <v>409</v>
      </c>
      <c r="B52" s="38">
        <v>4484000.03</v>
      </c>
      <c r="C52" s="38">
        <v>3720397</v>
      </c>
    </row>
    <row r="53" spans="1:3" x14ac:dyDescent="0.2">
      <c r="A53" s="42" t="s">
        <v>410</v>
      </c>
      <c r="B53" s="38">
        <v>9295611.0999999996</v>
      </c>
      <c r="C53" s="38">
        <v>7637816</v>
      </c>
    </row>
    <row r="54" spans="1:3" x14ac:dyDescent="0.2">
      <c r="A54" s="42" t="s">
        <v>411</v>
      </c>
      <c r="B54" s="38">
        <v>7267203.2999999989</v>
      </c>
      <c r="C54" s="38">
        <v>6501701</v>
      </c>
    </row>
    <row r="55" spans="1:3" x14ac:dyDescent="0.2">
      <c r="A55" s="42" t="s">
        <v>432</v>
      </c>
      <c r="B55" s="38">
        <v>5368441.08</v>
      </c>
      <c r="C55" s="38">
        <v>4676877</v>
      </c>
    </row>
    <row r="56" spans="1:3" x14ac:dyDescent="0.2">
      <c r="A56" s="37" t="s">
        <v>412</v>
      </c>
      <c r="B56" s="38">
        <v>92311094.780000001</v>
      </c>
      <c r="C56" s="38">
        <v>79295857</v>
      </c>
    </row>
    <row r="57" spans="1:3" x14ac:dyDescent="0.2">
      <c r="A57" s="42" t="s">
        <v>413</v>
      </c>
      <c r="B57" s="38">
        <v>6607761.6899999995</v>
      </c>
      <c r="C57" s="38">
        <v>5793733</v>
      </c>
    </row>
    <row r="58" spans="1:3" x14ac:dyDescent="0.2">
      <c r="A58" s="42" t="s">
        <v>414</v>
      </c>
      <c r="B58" s="38">
        <v>7297531.3900000006</v>
      </c>
      <c r="C58" s="38">
        <v>6148984</v>
      </c>
    </row>
    <row r="59" spans="1:3" x14ac:dyDescent="0.2">
      <c r="A59" s="42" t="s">
        <v>433</v>
      </c>
      <c r="B59" s="38">
        <v>5586859.8699999992</v>
      </c>
      <c r="C59" s="38">
        <v>4916993</v>
      </c>
    </row>
    <row r="60" spans="1:3" x14ac:dyDescent="0.2">
      <c r="A60" s="42" t="s">
        <v>434</v>
      </c>
      <c r="B60" s="38">
        <v>6964775.0800000001</v>
      </c>
      <c r="C60" s="38">
        <v>6034790.5</v>
      </c>
    </row>
    <row r="61" spans="1:3" x14ac:dyDescent="0.2">
      <c r="A61" s="42" t="s">
        <v>415</v>
      </c>
      <c r="B61" s="38">
        <v>6210211.0599999996</v>
      </c>
      <c r="C61" s="38">
        <v>5381571</v>
      </c>
    </row>
    <row r="62" spans="1:3" x14ac:dyDescent="0.2">
      <c r="A62" s="42" t="s">
        <v>416</v>
      </c>
      <c r="B62" s="38">
        <v>9518893.8200000003</v>
      </c>
      <c r="C62" s="38">
        <v>8045140</v>
      </c>
    </row>
    <row r="63" spans="1:3" x14ac:dyDescent="0.2">
      <c r="A63" s="42" t="s">
        <v>417</v>
      </c>
      <c r="B63" s="38">
        <v>8102920.1900000013</v>
      </c>
      <c r="C63" s="38">
        <v>7179054.5</v>
      </c>
    </row>
    <row r="64" spans="1:3" x14ac:dyDescent="0.2">
      <c r="A64" s="42" t="s">
        <v>435</v>
      </c>
      <c r="B64" s="38">
        <v>5864622.4199999999</v>
      </c>
      <c r="C64" s="38">
        <v>5073556</v>
      </c>
    </row>
    <row r="65" spans="1:6" x14ac:dyDescent="0.2">
      <c r="A65" s="42" t="s">
        <v>409</v>
      </c>
      <c r="B65" s="38">
        <v>6398697.2399999993</v>
      </c>
      <c r="C65" s="38">
        <v>5375565</v>
      </c>
    </row>
    <row r="66" spans="1:6" x14ac:dyDescent="0.2">
      <c r="A66" s="42" t="s">
        <v>410</v>
      </c>
      <c r="B66" s="38">
        <v>12375819.92</v>
      </c>
      <c r="C66" s="38">
        <v>10593834</v>
      </c>
    </row>
    <row r="67" spans="1:6" x14ac:dyDescent="0.2">
      <c r="A67" s="42" t="s">
        <v>411</v>
      </c>
      <c r="B67" s="38">
        <v>5384214.1999999993</v>
      </c>
      <c r="C67" s="38">
        <v>4779614</v>
      </c>
    </row>
    <row r="68" spans="1:6" x14ac:dyDescent="0.2">
      <c r="A68" s="42" t="s">
        <v>432</v>
      </c>
      <c r="B68" s="38">
        <v>11998787.899999999</v>
      </c>
      <c r="C68" s="38">
        <v>9973022</v>
      </c>
    </row>
    <row r="69" spans="1:6" x14ac:dyDescent="0.2">
      <c r="A69" s="37" t="s">
        <v>405</v>
      </c>
      <c r="B69" s="38">
        <v>118726350.28999999</v>
      </c>
      <c r="C69" s="38">
        <v>101832648</v>
      </c>
    </row>
    <row r="72" spans="1:6" x14ac:dyDescent="0.2">
      <c r="A72" s="36" t="s">
        <v>404</v>
      </c>
      <c r="B72" s="36" t="s">
        <v>403</v>
      </c>
    </row>
    <row r="73" spans="1:6" x14ac:dyDescent="0.2">
      <c r="A73" s="37" t="s">
        <v>341</v>
      </c>
      <c r="B73" s="38">
        <v>24887654.889999993</v>
      </c>
      <c r="E73" s="39" t="s">
        <v>341</v>
      </c>
      <c r="F73" s="36">
        <f>GETPIVOTDATA("Sales",$A$72,"Country","Canada")</f>
        <v>24887654.889999993</v>
      </c>
    </row>
    <row r="74" spans="1:6" x14ac:dyDescent="0.2">
      <c r="A74" s="37" t="s">
        <v>304</v>
      </c>
      <c r="B74" s="38">
        <v>24354172.289999995</v>
      </c>
      <c r="E74" s="37" t="s">
        <v>304</v>
      </c>
      <c r="F74" s="36">
        <f>GETPIVOTDATA("Sales",$A$72,"Country","France")</f>
        <v>24354172.289999995</v>
      </c>
    </row>
    <row r="75" spans="1:6" x14ac:dyDescent="0.2">
      <c r="A75" s="37" t="s">
        <v>305</v>
      </c>
      <c r="B75" s="38">
        <v>23505340.82</v>
      </c>
      <c r="E75" s="37" t="s">
        <v>305</v>
      </c>
      <c r="F75" s="36">
        <f>GETPIVOTDATA("Sales",$A$72,"Country","Germany")</f>
        <v>23505340.82</v>
      </c>
    </row>
    <row r="76" spans="1:6" x14ac:dyDescent="0.2">
      <c r="A76" s="37" t="s">
        <v>352</v>
      </c>
      <c r="B76" s="38">
        <v>20949352.109999999</v>
      </c>
      <c r="E76" s="37" t="s">
        <v>352</v>
      </c>
      <c r="F76" s="36">
        <f>GETPIVOTDATA("Sales",$A$72,"Country","United States of America")</f>
        <v>25029830.18</v>
      </c>
    </row>
    <row r="77" spans="1:6" x14ac:dyDescent="0.2">
      <c r="A77" s="37" t="s">
        <v>359</v>
      </c>
      <c r="B77" s="38">
        <v>25029830.18</v>
      </c>
      <c r="E77" s="37" t="s">
        <v>359</v>
      </c>
      <c r="F77" s="36">
        <f>GETPIVOTDATA("Sales",$A$72,"Country","United States of America")</f>
        <v>25029830.18</v>
      </c>
    </row>
    <row r="78" spans="1:6" x14ac:dyDescent="0.2">
      <c r="A78" s="37" t="s">
        <v>405</v>
      </c>
      <c r="B78" s="38">
        <v>118726350.28999999</v>
      </c>
    </row>
    <row r="88" spans="1:2" ht="18" x14ac:dyDescent="0.2">
      <c r="A88" s="23" t="s">
        <v>425</v>
      </c>
    </row>
    <row r="91" spans="1:2" x14ac:dyDescent="0.2">
      <c r="A91" s="17" t="s">
        <v>404</v>
      </c>
      <c r="B91" t="s">
        <v>403</v>
      </c>
    </row>
    <row r="92" spans="1:2" x14ac:dyDescent="0.2">
      <c r="A92" s="18" t="s">
        <v>395</v>
      </c>
      <c r="B92" s="19">
        <v>33011143.960000001</v>
      </c>
    </row>
    <row r="93" spans="1:2" x14ac:dyDescent="0.2">
      <c r="A93" s="18" t="s">
        <v>397</v>
      </c>
      <c r="B93" s="19">
        <v>20511921.020000003</v>
      </c>
    </row>
    <row r="94" spans="1:2" x14ac:dyDescent="0.2">
      <c r="A94" s="18" t="s">
        <v>396</v>
      </c>
      <c r="B94" s="19">
        <v>18250059.469999999</v>
      </c>
    </row>
    <row r="95" spans="1:2" x14ac:dyDescent="0.2">
      <c r="A95" s="18" t="s">
        <v>398</v>
      </c>
      <c r="B95" s="19">
        <v>17747116.069999997</v>
      </c>
    </row>
    <row r="96" spans="1:2" x14ac:dyDescent="0.2">
      <c r="A96" s="18" t="s">
        <v>391</v>
      </c>
      <c r="B96" s="19">
        <v>15390801.880000003</v>
      </c>
    </row>
    <row r="97" spans="1:2" x14ac:dyDescent="0.2">
      <c r="A97" s="18" t="s">
        <v>389</v>
      </c>
      <c r="B97" s="19">
        <v>13815307.889999999</v>
      </c>
    </row>
    <row r="98" spans="1:2" x14ac:dyDescent="0.2">
      <c r="A98" s="18" t="s">
        <v>405</v>
      </c>
      <c r="B98" s="19">
        <v>118726350.28999999</v>
      </c>
    </row>
    <row r="110" spans="1:2" ht="18" x14ac:dyDescent="0.2">
      <c r="A110" s="23" t="s">
        <v>426</v>
      </c>
    </row>
    <row r="112" spans="1:2" x14ac:dyDescent="0.2">
      <c r="A112" s="17" t="s">
        <v>404</v>
      </c>
      <c r="B112" t="s">
        <v>403</v>
      </c>
    </row>
    <row r="113" spans="1:2" x14ac:dyDescent="0.2">
      <c r="A113" s="18" t="s">
        <v>124</v>
      </c>
      <c r="B113" s="19">
        <v>38780430.840000004</v>
      </c>
    </row>
    <row r="114" spans="1:2" x14ac:dyDescent="0.2">
      <c r="A114" s="18" t="s">
        <v>158</v>
      </c>
      <c r="B114" s="19">
        <v>37372486.740000002</v>
      </c>
    </row>
    <row r="115" spans="1:2" x14ac:dyDescent="0.2">
      <c r="A115" s="18" t="s">
        <v>57</v>
      </c>
      <c r="B115" s="19">
        <v>34629778.709999986</v>
      </c>
    </row>
    <row r="116" spans="1:2" x14ac:dyDescent="0.2">
      <c r="A116" s="18" t="s">
        <v>12</v>
      </c>
      <c r="B116" s="19">
        <v>7943654</v>
      </c>
    </row>
    <row r="117" spans="1:2" x14ac:dyDescent="0.2">
      <c r="A117" s="18" t="s">
        <v>405</v>
      </c>
      <c r="B117" s="19">
        <v>118726350.28999999</v>
      </c>
    </row>
    <row r="126" spans="1:2" x14ac:dyDescent="0.2">
      <c r="A126" s="17" t="s">
        <v>404</v>
      </c>
      <c r="B126" t="s">
        <v>406</v>
      </c>
    </row>
    <row r="127" spans="1:2" x14ac:dyDescent="0.2">
      <c r="A127" s="37" t="s">
        <v>418</v>
      </c>
      <c r="B127" s="38">
        <v>11678741.709999993</v>
      </c>
    </row>
    <row r="128" spans="1:2" x14ac:dyDescent="0.2">
      <c r="A128" s="37" t="s">
        <v>419</v>
      </c>
      <c r="B128" s="38">
        <v>5214960.58</v>
      </c>
    </row>
    <row r="129" spans="1:2" x14ac:dyDescent="0.2">
      <c r="A129" s="37" t="s">
        <v>405</v>
      </c>
      <c r="B129" s="38">
        <v>16893702.289999992</v>
      </c>
    </row>
    <row r="145" spans="1:2" x14ac:dyDescent="0.2">
      <c r="A145" s="16" t="s">
        <v>1572</v>
      </c>
    </row>
    <row r="146" spans="1:2" x14ac:dyDescent="0.2">
      <c r="A146" s="17" t="s">
        <v>404</v>
      </c>
      <c r="B146" t="s">
        <v>406</v>
      </c>
    </row>
    <row r="147" spans="1:2" x14ac:dyDescent="0.2">
      <c r="A147" s="18" t="s">
        <v>389</v>
      </c>
      <c r="B147" s="19">
        <v>1826804.8900000001</v>
      </c>
    </row>
    <row r="148" spans="1:2" x14ac:dyDescent="0.2">
      <c r="A148" s="18" t="s">
        <v>391</v>
      </c>
      <c r="B148" s="19">
        <v>2114754.88</v>
      </c>
    </row>
    <row r="149" spans="1:2" x14ac:dyDescent="0.2">
      <c r="A149" s="18" t="s">
        <v>396</v>
      </c>
      <c r="B149" s="19">
        <v>2305992.4699999997</v>
      </c>
    </row>
    <row r="150" spans="1:2" x14ac:dyDescent="0.2">
      <c r="A150" s="18" t="s">
        <v>398</v>
      </c>
      <c r="B150" s="19">
        <v>2814104.0700000008</v>
      </c>
    </row>
    <row r="151" spans="1:2" x14ac:dyDescent="0.2">
      <c r="A151" s="18" t="s">
        <v>397</v>
      </c>
      <c r="B151" s="19">
        <v>3034608.0200000005</v>
      </c>
    </row>
    <row r="152" spans="1:2" x14ac:dyDescent="0.2">
      <c r="A152" s="18" t="s">
        <v>395</v>
      </c>
      <c r="B152" s="19">
        <v>4797437.9600000009</v>
      </c>
    </row>
    <row r="153" spans="1:2" x14ac:dyDescent="0.2">
      <c r="A153" s="18" t="s">
        <v>405</v>
      </c>
      <c r="B153" s="19">
        <v>16893702.289999999</v>
      </c>
    </row>
    <row r="162" spans="1:8" x14ac:dyDescent="0.2">
      <c r="A162" t="s">
        <v>428</v>
      </c>
    </row>
    <row r="164" spans="1:8" x14ac:dyDescent="0.2">
      <c r="A164" s="17" t="s">
        <v>403</v>
      </c>
      <c r="B164" s="17" t="s">
        <v>429</v>
      </c>
    </row>
    <row r="165" spans="1:8" x14ac:dyDescent="0.2">
      <c r="A165" s="17" t="s">
        <v>404</v>
      </c>
      <c r="B165" t="s">
        <v>398</v>
      </c>
      <c r="C165" t="s">
        <v>389</v>
      </c>
      <c r="D165" t="s">
        <v>391</v>
      </c>
      <c r="E165" t="s">
        <v>395</v>
      </c>
      <c r="F165" t="s">
        <v>396</v>
      </c>
      <c r="G165" t="s">
        <v>397</v>
      </c>
      <c r="H165" t="s">
        <v>405</v>
      </c>
    </row>
    <row r="166" spans="1:8" x14ac:dyDescent="0.2">
      <c r="A166" s="18" t="s">
        <v>341</v>
      </c>
      <c r="B166" s="19">
        <v>3855765.8800000004</v>
      </c>
      <c r="C166" s="19">
        <v>2610204.34</v>
      </c>
      <c r="D166" s="19">
        <v>2711919.0300000003</v>
      </c>
      <c r="E166" s="19">
        <v>7611520.9899999993</v>
      </c>
      <c r="F166" s="19">
        <v>3329490.34</v>
      </c>
      <c r="G166" s="19">
        <v>4768754.3100000005</v>
      </c>
      <c r="H166" s="19">
        <v>24887654.890000001</v>
      </c>
    </row>
    <row r="167" spans="1:8" x14ac:dyDescent="0.2">
      <c r="A167" s="18" t="s">
        <v>304</v>
      </c>
      <c r="B167" s="19">
        <v>4016427.1300000004</v>
      </c>
      <c r="C167" s="19">
        <v>3423321.9</v>
      </c>
      <c r="D167" s="19">
        <v>3527382.37</v>
      </c>
      <c r="E167" s="19">
        <v>5597751.0600000005</v>
      </c>
      <c r="F167" s="19">
        <v>3978096.24</v>
      </c>
      <c r="G167" s="19">
        <v>3811193.5899999994</v>
      </c>
      <c r="H167" s="19">
        <v>24354172.290000003</v>
      </c>
    </row>
    <row r="168" spans="1:8" x14ac:dyDescent="0.2">
      <c r="A168" s="18" t="s">
        <v>305</v>
      </c>
      <c r="B168" s="19">
        <v>3960250.26</v>
      </c>
      <c r="C168" s="19">
        <v>3062340.68</v>
      </c>
      <c r="D168" s="19">
        <v>3566044.37</v>
      </c>
      <c r="E168" s="19">
        <v>5229814.7400000012</v>
      </c>
      <c r="F168" s="19">
        <v>4392907</v>
      </c>
      <c r="G168" s="19">
        <v>3293983.77</v>
      </c>
      <c r="H168" s="19">
        <v>23505340.82</v>
      </c>
    </row>
    <row r="169" spans="1:8" x14ac:dyDescent="0.2">
      <c r="A169" s="18" t="s">
        <v>352</v>
      </c>
      <c r="B169" s="19">
        <v>3077555.3899999997</v>
      </c>
      <c r="C169" s="19">
        <v>2879601.4199999995</v>
      </c>
      <c r="D169" s="19">
        <v>1941329.3099999998</v>
      </c>
      <c r="E169" s="19">
        <v>7627731.3900000006</v>
      </c>
      <c r="F169" s="19">
        <v>2250737.8899999997</v>
      </c>
      <c r="G169" s="19">
        <v>3172396.7100000004</v>
      </c>
      <c r="H169" s="19">
        <v>20949352.109999999</v>
      </c>
    </row>
    <row r="170" spans="1:8" x14ac:dyDescent="0.2">
      <c r="A170" s="18" t="s">
        <v>359</v>
      </c>
      <c r="B170" s="19">
        <v>2837117.41</v>
      </c>
      <c r="C170" s="19">
        <v>1839839.5500000003</v>
      </c>
      <c r="D170" s="19">
        <v>3644126.8</v>
      </c>
      <c r="E170" s="19">
        <v>6944325.7799999993</v>
      </c>
      <c r="F170" s="19">
        <v>4298828</v>
      </c>
      <c r="G170" s="19">
        <v>5465592.6399999997</v>
      </c>
      <c r="H170" s="19">
        <v>25029830.18</v>
      </c>
    </row>
    <row r="171" spans="1:8" x14ac:dyDescent="0.2">
      <c r="A171" s="18" t="s">
        <v>405</v>
      </c>
      <c r="B171" s="19">
        <v>17747116.07</v>
      </c>
      <c r="C171" s="19">
        <v>13815307.890000001</v>
      </c>
      <c r="D171" s="19">
        <v>15390801.879999999</v>
      </c>
      <c r="E171" s="19">
        <v>33011143.960000001</v>
      </c>
      <c r="F171" s="19">
        <v>18250059.469999999</v>
      </c>
      <c r="G171" s="19">
        <v>20511921.02</v>
      </c>
      <c r="H171" s="19">
        <v>118726350.28999999</v>
      </c>
    </row>
    <row r="174" spans="1:8" x14ac:dyDescent="0.2">
      <c r="A174" s="18"/>
    </row>
    <row r="175" spans="1:8" x14ac:dyDescent="0.2">
      <c r="A175" s="18"/>
    </row>
    <row r="176" spans="1:8" x14ac:dyDescent="0.2">
      <c r="A176" s="18"/>
    </row>
    <row r="177" spans="1:5" x14ac:dyDescent="0.2">
      <c r="A177" s="18"/>
    </row>
    <row r="178" spans="1:5" x14ac:dyDescent="0.2">
      <c r="A178" s="18"/>
    </row>
    <row r="180" spans="1:5" x14ac:dyDescent="0.2">
      <c r="A180" t="s">
        <v>430</v>
      </c>
    </row>
    <row r="182" spans="1:5" x14ac:dyDescent="0.2">
      <c r="A182" s="17" t="s">
        <v>404</v>
      </c>
      <c r="B182" t="s">
        <v>406</v>
      </c>
      <c r="C182" t="s">
        <v>431</v>
      </c>
      <c r="D182" t="s">
        <v>436</v>
      </c>
      <c r="E182" t="s">
        <v>446</v>
      </c>
    </row>
    <row r="183" spans="1:5" x14ac:dyDescent="0.2">
      <c r="A183" s="18" t="s">
        <v>341</v>
      </c>
      <c r="B183" s="19">
        <v>3529228.89</v>
      </c>
      <c r="C183" s="19">
        <v>2044508.6200000003</v>
      </c>
      <c r="D183" s="19">
        <v>247428.5</v>
      </c>
      <c r="E183" s="19">
        <v>0.65245806079844726</v>
      </c>
    </row>
    <row r="184" spans="1:5" x14ac:dyDescent="0.2">
      <c r="A184" s="18" t="s">
        <v>304</v>
      </c>
      <c r="B184" s="19">
        <v>3781020.79</v>
      </c>
      <c r="C184" s="19">
        <v>1727502.2299999995</v>
      </c>
      <c r="D184" s="19">
        <v>240931</v>
      </c>
      <c r="E184" s="19">
        <v>0.65657962550567484</v>
      </c>
    </row>
    <row r="185" spans="1:5" x14ac:dyDescent="0.2">
      <c r="A185" s="18" t="s">
        <v>305</v>
      </c>
      <c r="B185" s="19">
        <v>3680388.8200000012</v>
      </c>
      <c r="C185" s="19">
        <v>1416126.6800000002</v>
      </c>
      <c r="D185" s="19">
        <v>201494</v>
      </c>
      <c r="E185" s="19">
        <v>0.66395457875457853</v>
      </c>
    </row>
    <row r="186" spans="1:5" x14ac:dyDescent="0.2">
      <c r="A186" s="18" t="s">
        <v>352</v>
      </c>
      <c r="B186" s="19">
        <v>2907523.1100000003</v>
      </c>
      <c r="C186" s="19">
        <v>1777582.89</v>
      </c>
      <c r="D186" s="19">
        <v>203325</v>
      </c>
      <c r="E186" s="19">
        <v>0.6391113095238089</v>
      </c>
    </row>
    <row r="187" spans="1:5" x14ac:dyDescent="0.2">
      <c r="A187" s="18" t="s">
        <v>359</v>
      </c>
      <c r="B187" s="19">
        <v>2995540.6799999997</v>
      </c>
      <c r="C187" s="19">
        <v>2239527.85</v>
      </c>
      <c r="D187" s="19">
        <v>232627.5</v>
      </c>
      <c r="E187" s="19">
        <v>0.6542643849610642</v>
      </c>
    </row>
    <row r="188" spans="1:5" x14ac:dyDescent="0.2">
      <c r="A188" s="18" t="s">
        <v>405</v>
      </c>
      <c r="B188" s="19">
        <v>16893702.290000007</v>
      </c>
      <c r="C188" s="19">
        <v>9205248.2700000033</v>
      </c>
      <c r="D188" s="19">
        <v>1125806</v>
      </c>
      <c r="E188" s="19">
        <v>0.65327359190871381</v>
      </c>
    </row>
    <row r="192" spans="1:5" x14ac:dyDescent="0.2">
      <c r="A192" s="17" t="s">
        <v>436</v>
      </c>
      <c r="B192" s="17" t="s">
        <v>429</v>
      </c>
    </row>
    <row r="193" spans="1:9" x14ac:dyDescent="0.2">
      <c r="A193" s="17" t="s">
        <v>404</v>
      </c>
      <c r="B193" s="15">
        <v>7</v>
      </c>
      <c r="C193" s="15">
        <v>12</v>
      </c>
      <c r="D193" s="15">
        <v>15</v>
      </c>
      <c r="E193" s="15">
        <v>20</v>
      </c>
      <c r="F193" s="15">
        <v>125</v>
      </c>
      <c r="G193" s="15">
        <v>300</v>
      </c>
      <c r="H193" s="15">
        <v>350</v>
      </c>
      <c r="I193" s="15" t="s">
        <v>405</v>
      </c>
    </row>
    <row r="194" spans="1:9" x14ac:dyDescent="0.2">
      <c r="A194" s="18" t="s">
        <v>392</v>
      </c>
      <c r="B194" s="19"/>
      <c r="C194" s="19">
        <v>161263.5</v>
      </c>
      <c r="D194" s="19"/>
      <c r="E194" s="19"/>
      <c r="F194" s="19"/>
      <c r="G194" s="19"/>
      <c r="H194" s="19"/>
      <c r="I194" s="19">
        <v>161263.5</v>
      </c>
    </row>
    <row r="195" spans="1:9" x14ac:dyDescent="0.2">
      <c r="A195" s="18" t="s">
        <v>393</v>
      </c>
      <c r="B195" s="19"/>
      <c r="C195" s="19"/>
      <c r="D195" s="19"/>
      <c r="E195" s="19"/>
      <c r="F195" s="19">
        <v>168552</v>
      </c>
      <c r="G195" s="19"/>
      <c r="H195" s="19"/>
      <c r="I195" s="19">
        <v>168552</v>
      </c>
    </row>
    <row r="196" spans="1:9" x14ac:dyDescent="0.2">
      <c r="A196" s="18" t="s">
        <v>388</v>
      </c>
      <c r="B196" s="19">
        <v>167304.5</v>
      </c>
      <c r="C196" s="19"/>
      <c r="D196" s="19"/>
      <c r="E196" s="19">
        <v>154385.5</v>
      </c>
      <c r="F196" s="19"/>
      <c r="G196" s="19"/>
      <c r="H196" s="19">
        <v>148983.5</v>
      </c>
      <c r="I196" s="19">
        <v>470673.5</v>
      </c>
    </row>
    <row r="197" spans="1:9" x14ac:dyDescent="0.2">
      <c r="A197" s="18" t="s">
        <v>390</v>
      </c>
      <c r="B197" s="19"/>
      <c r="C197" s="19"/>
      <c r="D197" s="19">
        <v>172178</v>
      </c>
      <c r="E197" s="19"/>
      <c r="F197" s="19"/>
      <c r="G197" s="19"/>
      <c r="H197" s="19"/>
      <c r="I197" s="19">
        <v>172178</v>
      </c>
    </row>
    <row r="198" spans="1:9" x14ac:dyDescent="0.2">
      <c r="A198" s="18" t="s">
        <v>394</v>
      </c>
      <c r="B198" s="19"/>
      <c r="C198" s="19"/>
      <c r="D198" s="19"/>
      <c r="E198" s="19"/>
      <c r="F198" s="19"/>
      <c r="G198" s="19">
        <v>153139</v>
      </c>
      <c r="H198" s="19"/>
      <c r="I198" s="19">
        <v>153139</v>
      </c>
    </row>
    <row r="199" spans="1:9" x14ac:dyDescent="0.2">
      <c r="A199" s="18" t="s">
        <v>405</v>
      </c>
      <c r="B199" s="19">
        <v>167304.5</v>
      </c>
      <c r="C199" s="19">
        <v>161263.5</v>
      </c>
      <c r="D199" s="19">
        <v>172178</v>
      </c>
      <c r="E199" s="19">
        <v>154385.5</v>
      </c>
      <c r="F199" s="19">
        <v>168552</v>
      </c>
      <c r="G199" s="19">
        <v>153139</v>
      </c>
      <c r="H199" s="19">
        <v>148983.5</v>
      </c>
      <c r="I199" s="19">
        <v>1125806</v>
      </c>
    </row>
    <row r="201" spans="1:9" x14ac:dyDescent="0.2">
      <c r="A201" s="18"/>
    </row>
    <row r="202" spans="1:9" x14ac:dyDescent="0.2">
      <c r="A202" s="18"/>
    </row>
    <row r="203" spans="1:9" x14ac:dyDescent="0.2">
      <c r="A203" s="18"/>
    </row>
    <row r="204" spans="1:9" x14ac:dyDescent="0.2">
      <c r="A204" s="18"/>
    </row>
    <row r="205" spans="1:9" x14ac:dyDescent="0.2">
      <c r="A205" s="18"/>
    </row>
    <row r="209" spans="1:8" x14ac:dyDescent="0.2">
      <c r="A209" t="s">
        <v>427</v>
      </c>
    </row>
    <row r="210" spans="1:8" x14ac:dyDescent="0.2">
      <c r="A210" s="17" t="s">
        <v>440</v>
      </c>
      <c r="B210" s="17" t="s">
        <v>429</v>
      </c>
    </row>
    <row r="211" spans="1:8" x14ac:dyDescent="0.2">
      <c r="A211" s="17" t="s">
        <v>404</v>
      </c>
      <c r="B211" t="s">
        <v>398</v>
      </c>
      <c r="C211" t="s">
        <v>389</v>
      </c>
      <c r="D211" t="s">
        <v>391</v>
      </c>
      <c r="E211" t="s">
        <v>395</v>
      </c>
      <c r="F211" t="s">
        <v>396</v>
      </c>
      <c r="G211" t="s">
        <v>397</v>
      </c>
      <c r="H211" t="s">
        <v>405</v>
      </c>
    </row>
    <row r="212" spans="1:8" x14ac:dyDescent="0.2">
      <c r="A212" s="18" t="s">
        <v>392</v>
      </c>
      <c r="B212" s="28">
        <v>12</v>
      </c>
      <c r="C212" s="28">
        <v>12</v>
      </c>
      <c r="D212" s="28">
        <v>12</v>
      </c>
      <c r="E212" s="28">
        <v>12</v>
      </c>
      <c r="F212" s="28">
        <v>12</v>
      </c>
      <c r="G212" s="28">
        <v>12</v>
      </c>
      <c r="H212" s="28">
        <v>12</v>
      </c>
    </row>
    <row r="213" spans="1:8" x14ac:dyDescent="0.2">
      <c r="A213" s="18" t="s">
        <v>393</v>
      </c>
      <c r="B213" s="28">
        <v>125</v>
      </c>
      <c r="C213" s="28">
        <v>125</v>
      </c>
      <c r="D213" s="28">
        <v>125</v>
      </c>
      <c r="E213" s="28">
        <v>125</v>
      </c>
      <c r="F213" s="28">
        <v>125</v>
      </c>
      <c r="G213" s="28">
        <v>125</v>
      </c>
      <c r="H213" s="28">
        <v>125</v>
      </c>
    </row>
    <row r="214" spans="1:8" x14ac:dyDescent="0.2">
      <c r="A214" s="18" t="s">
        <v>388</v>
      </c>
      <c r="B214" s="28">
        <v>157.71428571428572</v>
      </c>
      <c r="C214" s="28">
        <v>125.66666666666667</v>
      </c>
      <c r="D214" s="28">
        <v>108.71428571428571</v>
      </c>
      <c r="E214" s="28">
        <v>113.06818181818181</v>
      </c>
      <c r="F214" s="28">
        <v>116.47826086956522</v>
      </c>
      <c r="G214" s="28">
        <v>145.17391304347825</v>
      </c>
      <c r="H214" s="28">
        <v>125.66666666666667</v>
      </c>
    </row>
    <row r="215" spans="1:8" x14ac:dyDescent="0.2">
      <c r="A215" s="18" t="s">
        <v>390</v>
      </c>
      <c r="B215" s="28">
        <v>15</v>
      </c>
      <c r="C215" s="28">
        <v>15</v>
      </c>
      <c r="D215" s="28">
        <v>15</v>
      </c>
      <c r="E215" s="28">
        <v>15</v>
      </c>
      <c r="F215" s="28">
        <v>15</v>
      </c>
      <c r="G215" s="28">
        <v>15</v>
      </c>
      <c r="H215" s="28">
        <v>15</v>
      </c>
    </row>
    <row r="216" spans="1:8" x14ac:dyDescent="0.2">
      <c r="A216" s="18" t="s">
        <v>394</v>
      </c>
      <c r="B216" s="28">
        <v>300</v>
      </c>
      <c r="C216" s="28">
        <v>300</v>
      </c>
      <c r="D216" s="28">
        <v>300</v>
      </c>
      <c r="E216" s="28">
        <v>300</v>
      </c>
      <c r="F216" s="28">
        <v>300</v>
      </c>
      <c r="G216" s="28">
        <v>300</v>
      </c>
      <c r="H216" s="28">
        <v>300</v>
      </c>
    </row>
    <row r="217" spans="1:8" x14ac:dyDescent="0.2">
      <c r="A217" s="18" t="s">
        <v>405</v>
      </c>
      <c r="B217" s="28">
        <v>128.68085106382978</v>
      </c>
      <c r="C217" s="28">
        <v>111.7741935483871</v>
      </c>
      <c r="D217" s="28">
        <v>117.09677419354838</v>
      </c>
      <c r="E217" s="28">
        <v>108.17821782178218</v>
      </c>
      <c r="F217" s="28">
        <v>115.23853211009174</v>
      </c>
      <c r="G217" s="28">
        <v>138.58715596330276</v>
      </c>
      <c r="H217" s="28">
        <v>118.42857142857143</v>
      </c>
    </row>
    <row r="218" spans="1:8" x14ac:dyDescent="0.2">
      <c r="A218" s="18"/>
    </row>
    <row r="219" spans="1:8" x14ac:dyDescent="0.2">
      <c r="A219" s="18"/>
    </row>
    <row r="220" spans="1:8" x14ac:dyDescent="0.2">
      <c r="A220" s="18"/>
    </row>
    <row r="221" spans="1:8" x14ac:dyDescent="0.2">
      <c r="A221" s="18"/>
    </row>
    <row r="222" spans="1:8" x14ac:dyDescent="0.2">
      <c r="A222" s="18"/>
    </row>
    <row r="224" spans="1:8" x14ac:dyDescent="0.2">
      <c r="A224" s="29" t="s">
        <v>441</v>
      </c>
    </row>
    <row r="226" spans="1:13" x14ac:dyDescent="0.2">
      <c r="A226" s="22" t="s">
        <v>442</v>
      </c>
    </row>
    <row r="228" spans="1:13" x14ac:dyDescent="0.2">
      <c r="A228" t="s">
        <v>427</v>
      </c>
    </row>
    <row r="229" spans="1:13" x14ac:dyDescent="0.2">
      <c r="A229" s="17" t="s">
        <v>404</v>
      </c>
      <c r="B229" t="s">
        <v>403</v>
      </c>
      <c r="C229" t="s">
        <v>406</v>
      </c>
      <c r="D229" t="s">
        <v>431</v>
      </c>
      <c r="E229" s="17"/>
      <c r="F229" s="17"/>
      <c r="G229" s="17"/>
      <c r="H229" s="17"/>
      <c r="I229" s="17"/>
      <c r="J229" s="17"/>
      <c r="K229" s="17"/>
      <c r="L229" s="17"/>
      <c r="M229" s="17"/>
    </row>
    <row r="230" spans="1:13" x14ac:dyDescent="0.2">
      <c r="A230" s="18" t="s">
        <v>408</v>
      </c>
      <c r="B230" s="19">
        <v>26415255.509999998</v>
      </c>
      <c r="C230" s="19">
        <v>3878464.51</v>
      </c>
      <c r="D230" s="19">
        <v>2145531.4899999998</v>
      </c>
    </row>
    <row r="231" spans="1:13" x14ac:dyDescent="0.2">
      <c r="A231" s="21" t="s">
        <v>409</v>
      </c>
      <c r="B231" s="19">
        <v>4484000.03</v>
      </c>
      <c r="C231" s="19">
        <v>763603.03</v>
      </c>
      <c r="D231" s="19">
        <v>245735.97</v>
      </c>
    </row>
    <row r="232" spans="1:13" x14ac:dyDescent="0.2">
      <c r="A232" s="21" t="s">
        <v>410</v>
      </c>
      <c r="B232" s="19">
        <v>9295611.0999999996</v>
      </c>
      <c r="C232" s="19">
        <v>1657795.0999999999</v>
      </c>
      <c r="D232" s="19">
        <v>533076.89999999991</v>
      </c>
    </row>
    <row r="233" spans="1:13" x14ac:dyDescent="0.2">
      <c r="A233" s="21" t="s">
        <v>411</v>
      </c>
      <c r="B233" s="19">
        <v>7267203.2999999989</v>
      </c>
      <c r="C233" s="19">
        <v>765502.3</v>
      </c>
      <c r="D233" s="19">
        <v>900134.7</v>
      </c>
    </row>
    <row r="234" spans="1:13" x14ac:dyDescent="0.2">
      <c r="A234" s="21" t="s">
        <v>432</v>
      </c>
      <c r="B234" s="19">
        <v>5368441.08</v>
      </c>
      <c r="C234" s="19">
        <v>691564.08000000007</v>
      </c>
      <c r="D234" s="19">
        <v>466583.92</v>
      </c>
    </row>
    <row r="235" spans="1:13" x14ac:dyDescent="0.2">
      <c r="A235" s="18" t="s">
        <v>412</v>
      </c>
      <c r="B235" s="19">
        <v>92311094.780000001</v>
      </c>
      <c r="C235" s="19">
        <v>13015237.779999999</v>
      </c>
      <c r="D235" s="19">
        <v>7059716.7799999993</v>
      </c>
    </row>
    <row r="236" spans="1:13" x14ac:dyDescent="0.2">
      <c r="A236" s="21" t="s">
        <v>413</v>
      </c>
      <c r="B236" s="19">
        <v>6607761.6899999995</v>
      </c>
      <c r="C236" s="19">
        <v>814028.69000000006</v>
      </c>
      <c r="D236" s="19">
        <v>699641.83000000007</v>
      </c>
    </row>
    <row r="237" spans="1:13" x14ac:dyDescent="0.2">
      <c r="A237" s="21" t="s">
        <v>414</v>
      </c>
      <c r="B237" s="19">
        <v>7297531.3900000006</v>
      </c>
      <c r="C237" s="19">
        <v>1148547.3899999999</v>
      </c>
      <c r="D237" s="19">
        <v>401669.61</v>
      </c>
    </row>
    <row r="238" spans="1:13" x14ac:dyDescent="0.2">
      <c r="A238" s="21" t="s">
        <v>433</v>
      </c>
      <c r="B238" s="19">
        <v>5586859.8699999992</v>
      </c>
      <c r="C238" s="19">
        <v>669866.87</v>
      </c>
      <c r="D238" s="19">
        <v>537166.13</v>
      </c>
    </row>
    <row r="239" spans="1:13" x14ac:dyDescent="0.2">
      <c r="A239" s="21" t="s">
        <v>434</v>
      </c>
      <c r="B239" s="19">
        <v>6964775.0800000001</v>
      </c>
      <c r="C239" s="19">
        <v>929984.58</v>
      </c>
      <c r="D239" s="19">
        <v>464617.43999999994</v>
      </c>
    </row>
    <row r="240" spans="1:13" x14ac:dyDescent="0.2">
      <c r="A240" s="21" t="s">
        <v>415</v>
      </c>
      <c r="B240" s="19">
        <v>6210211.0599999996</v>
      </c>
      <c r="C240" s="19">
        <v>828640.06</v>
      </c>
      <c r="D240" s="19">
        <v>557699.93999999994</v>
      </c>
    </row>
    <row r="241" spans="1:4" x14ac:dyDescent="0.2">
      <c r="A241" s="21" t="s">
        <v>416</v>
      </c>
      <c r="B241" s="19">
        <v>9518893.8200000003</v>
      </c>
      <c r="C241" s="19">
        <v>1473753.8199999998</v>
      </c>
      <c r="D241" s="19">
        <v>750078.17999999993</v>
      </c>
    </row>
    <row r="242" spans="1:4" x14ac:dyDescent="0.2">
      <c r="A242" s="21" t="s">
        <v>417</v>
      </c>
      <c r="B242" s="19">
        <v>8102920.1900000013</v>
      </c>
      <c r="C242" s="19">
        <v>923865.68999999983</v>
      </c>
      <c r="D242" s="19">
        <v>730107.33</v>
      </c>
    </row>
    <row r="243" spans="1:4" x14ac:dyDescent="0.2">
      <c r="A243" s="21" t="s">
        <v>435</v>
      </c>
      <c r="B243" s="19">
        <v>5864622.4199999999</v>
      </c>
      <c r="C243" s="19">
        <v>791066.42</v>
      </c>
      <c r="D243" s="19">
        <v>461336.58</v>
      </c>
    </row>
    <row r="244" spans="1:4" x14ac:dyDescent="0.2">
      <c r="A244" s="21" t="s">
        <v>409</v>
      </c>
      <c r="B244" s="19">
        <v>6398697.2399999993</v>
      </c>
      <c r="C244" s="19">
        <v>1023132.24</v>
      </c>
      <c r="D244" s="19">
        <v>446619.75999999995</v>
      </c>
    </row>
    <row r="245" spans="1:4" x14ac:dyDescent="0.2">
      <c r="A245" s="21" t="s">
        <v>410</v>
      </c>
      <c r="B245" s="19">
        <v>12375819.92</v>
      </c>
      <c r="C245" s="19">
        <v>1781985.9200000004</v>
      </c>
      <c r="D245" s="19">
        <v>937604.08</v>
      </c>
    </row>
    <row r="246" spans="1:4" x14ac:dyDescent="0.2">
      <c r="A246" s="21" t="s">
        <v>411</v>
      </c>
      <c r="B246" s="19">
        <v>5384214.1999999993</v>
      </c>
      <c r="C246" s="19">
        <v>604600.19999999995</v>
      </c>
      <c r="D246" s="19">
        <v>563695.80000000005</v>
      </c>
    </row>
    <row r="247" spans="1:4" x14ac:dyDescent="0.2">
      <c r="A247" s="21" t="s">
        <v>432</v>
      </c>
      <c r="B247" s="19">
        <v>11998787.899999999</v>
      </c>
      <c r="C247" s="19">
        <v>2025765.9000000001</v>
      </c>
      <c r="D247" s="19">
        <v>509480.10000000003</v>
      </c>
    </row>
    <row r="248" spans="1:4" x14ac:dyDescent="0.2">
      <c r="A248" s="18" t="s">
        <v>405</v>
      </c>
      <c r="B248" s="19">
        <v>118726350.28999999</v>
      </c>
      <c r="C248" s="19">
        <v>16893702.289999999</v>
      </c>
      <c r="D248" s="19">
        <v>9205248.2699999996</v>
      </c>
    </row>
    <row r="249" spans="1:4" x14ac:dyDescent="0.2">
      <c r="A249" s="18"/>
    </row>
    <row r="250" spans="1:4" x14ac:dyDescent="0.2">
      <c r="A250" s="18"/>
    </row>
    <row r="251" spans="1:4" x14ac:dyDescent="0.2">
      <c r="A251" s="18"/>
    </row>
    <row r="252" spans="1:4" x14ac:dyDescent="0.2">
      <c r="A252" s="18"/>
    </row>
    <row r="253" spans="1:4" x14ac:dyDescent="0.2">
      <c r="A253" s="18"/>
    </row>
    <row r="255" spans="1:4" x14ac:dyDescent="0.2">
      <c r="A255" s="21" t="s">
        <v>443</v>
      </c>
    </row>
    <row r="257" spans="1:3" x14ac:dyDescent="0.2">
      <c r="A257" s="17" t="s">
        <v>404</v>
      </c>
      <c r="B257" t="s">
        <v>403</v>
      </c>
      <c r="C257" t="s">
        <v>431</v>
      </c>
    </row>
    <row r="258" spans="1:3" x14ac:dyDescent="0.2">
      <c r="A258" s="37" t="s">
        <v>398</v>
      </c>
      <c r="B258" s="38">
        <v>17747116.069999997</v>
      </c>
      <c r="C258" s="38">
        <v>1290163.4500000004</v>
      </c>
    </row>
    <row r="259" spans="1:3" x14ac:dyDescent="0.2">
      <c r="A259" s="37" t="s">
        <v>389</v>
      </c>
      <c r="B259" s="38">
        <v>13815307.889999999</v>
      </c>
      <c r="C259" s="38">
        <v>1122212.6200000001</v>
      </c>
    </row>
    <row r="260" spans="1:3" x14ac:dyDescent="0.2">
      <c r="A260" s="37" t="s">
        <v>391</v>
      </c>
      <c r="B260" s="38">
        <v>15390801.880000003</v>
      </c>
      <c r="C260" s="38">
        <v>1159032.6200000001</v>
      </c>
    </row>
    <row r="261" spans="1:3" x14ac:dyDescent="0.2">
      <c r="A261" s="37" t="s">
        <v>395</v>
      </c>
      <c r="B261" s="38">
        <v>33011143.960000001</v>
      </c>
      <c r="C261" s="38">
        <v>2600518.0599999996</v>
      </c>
    </row>
    <row r="262" spans="1:3" x14ac:dyDescent="0.2">
      <c r="A262" s="37" t="s">
        <v>396</v>
      </c>
      <c r="B262" s="38">
        <v>18250059.469999999</v>
      </c>
      <c r="C262" s="38">
        <v>1576709.04</v>
      </c>
    </row>
    <row r="263" spans="1:3" x14ac:dyDescent="0.2">
      <c r="A263" s="37" t="s">
        <v>397</v>
      </c>
      <c r="B263" s="38">
        <v>20511921.020000003</v>
      </c>
      <c r="C263" s="38">
        <v>1456612.48</v>
      </c>
    </row>
    <row r="264" spans="1:3" x14ac:dyDescent="0.2">
      <c r="A264" s="18" t="s">
        <v>405</v>
      </c>
      <c r="B264" s="19">
        <v>118726350.28999999</v>
      </c>
      <c r="C264" s="19">
        <v>9205248.2699999996</v>
      </c>
    </row>
    <row r="266" spans="1:3" x14ac:dyDescent="0.2">
      <c r="A266" s="18"/>
    </row>
    <row r="267" spans="1:3" x14ac:dyDescent="0.2">
      <c r="A267" s="18"/>
    </row>
    <row r="268" spans="1:3" x14ac:dyDescent="0.2">
      <c r="A268" s="18"/>
    </row>
    <row r="269" spans="1:3" x14ac:dyDescent="0.2">
      <c r="A269" s="18"/>
    </row>
    <row r="271" spans="1:3" x14ac:dyDescent="0.2">
      <c r="A271" s="18" t="s">
        <v>444</v>
      </c>
    </row>
    <row r="273" spans="1:2" x14ac:dyDescent="0.2">
      <c r="A273" s="17" t="s">
        <v>404</v>
      </c>
      <c r="B273" t="s">
        <v>403</v>
      </c>
    </row>
    <row r="274" spans="1:2" x14ac:dyDescent="0.2">
      <c r="A274" s="37" t="s">
        <v>124</v>
      </c>
      <c r="B274" s="38">
        <v>38780430.840000004</v>
      </c>
    </row>
    <row r="275" spans="1:2" x14ac:dyDescent="0.2">
      <c r="A275" s="37" t="s">
        <v>158</v>
      </c>
      <c r="B275" s="38">
        <v>37372486.740000002</v>
      </c>
    </row>
    <row r="276" spans="1:2" x14ac:dyDescent="0.2">
      <c r="A276" s="37" t="s">
        <v>57</v>
      </c>
      <c r="B276" s="38">
        <v>34629778.709999986</v>
      </c>
    </row>
    <row r="277" spans="1:2" x14ac:dyDescent="0.2">
      <c r="A277" s="37" t="s">
        <v>12</v>
      </c>
      <c r="B277" s="38">
        <v>7943654</v>
      </c>
    </row>
    <row r="278" spans="1:2" x14ac:dyDescent="0.2">
      <c r="A278" s="18" t="s">
        <v>405</v>
      </c>
      <c r="B278" s="19">
        <v>118726350.28999999</v>
      </c>
    </row>
    <row r="286" spans="1:2" x14ac:dyDescent="0.2">
      <c r="A286" s="17" t="s">
        <v>404</v>
      </c>
      <c r="B286" t="s">
        <v>406</v>
      </c>
    </row>
    <row r="287" spans="1:2" x14ac:dyDescent="0.2">
      <c r="A287" s="18" t="s">
        <v>389</v>
      </c>
      <c r="B287" s="19">
        <v>1826804.8900000001</v>
      </c>
    </row>
    <row r="288" spans="1:2" x14ac:dyDescent="0.2">
      <c r="A288" s="18" t="s">
        <v>391</v>
      </c>
      <c r="B288" s="19">
        <v>2114754.88</v>
      </c>
    </row>
    <row r="289" spans="1:2" x14ac:dyDescent="0.2">
      <c r="A289" s="18" t="s">
        <v>396</v>
      </c>
      <c r="B289" s="19">
        <v>2305992.4699999997</v>
      </c>
    </row>
    <row r="290" spans="1:2" x14ac:dyDescent="0.2">
      <c r="A290" s="18" t="s">
        <v>398</v>
      </c>
      <c r="B290" s="19">
        <v>2814104.0700000008</v>
      </c>
    </row>
    <row r="291" spans="1:2" x14ac:dyDescent="0.2">
      <c r="A291" s="18" t="s">
        <v>397</v>
      </c>
      <c r="B291" s="19">
        <v>3034608.0200000005</v>
      </c>
    </row>
    <row r="292" spans="1:2" x14ac:dyDescent="0.2">
      <c r="A292" s="18" t="s">
        <v>395</v>
      </c>
      <c r="B292" s="19">
        <v>4797437.9600000009</v>
      </c>
    </row>
    <row r="293" spans="1:2" x14ac:dyDescent="0.2">
      <c r="A293" s="18" t="s">
        <v>405</v>
      </c>
      <c r="B293" s="19">
        <v>16893702.289999999</v>
      </c>
    </row>
    <row r="300" spans="1:2" x14ac:dyDescent="0.2">
      <c r="A300" s="17" t="s">
        <v>404</v>
      </c>
      <c r="B300" t="s">
        <v>406</v>
      </c>
    </row>
    <row r="301" spans="1:2" x14ac:dyDescent="0.2">
      <c r="A301" s="18" t="s">
        <v>304</v>
      </c>
      <c r="B301" s="19">
        <v>3781020.79</v>
      </c>
    </row>
    <row r="302" spans="1:2" x14ac:dyDescent="0.2">
      <c r="A302" s="18" t="s">
        <v>305</v>
      </c>
      <c r="B302" s="19">
        <v>3680388.8200000012</v>
      </c>
    </row>
    <row r="303" spans="1:2" x14ac:dyDescent="0.2">
      <c r="A303" s="18" t="s">
        <v>341</v>
      </c>
      <c r="B303" s="19">
        <v>3529228.89</v>
      </c>
    </row>
    <row r="304" spans="1:2" x14ac:dyDescent="0.2">
      <c r="A304" s="18" t="s">
        <v>359</v>
      </c>
      <c r="B304" s="19">
        <v>2995540.6799999997</v>
      </c>
    </row>
    <row r="305" spans="1:2" x14ac:dyDescent="0.2">
      <c r="A305" s="18" t="s">
        <v>352</v>
      </c>
      <c r="B305" s="19">
        <v>2907523.1100000003</v>
      </c>
    </row>
    <row r="306" spans="1:2" x14ac:dyDescent="0.2">
      <c r="A306" s="18" t="s">
        <v>405</v>
      </c>
      <c r="B306" s="19">
        <v>16893702.289999999</v>
      </c>
    </row>
    <row r="314" spans="1:2" x14ac:dyDescent="0.2">
      <c r="A314" s="17" t="s">
        <v>404</v>
      </c>
      <c r="B314" t="s">
        <v>445</v>
      </c>
    </row>
    <row r="315" spans="1:2" x14ac:dyDescent="0.2">
      <c r="A315" s="37" t="s">
        <v>305</v>
      </c>
      <c r="B315" s="38">
        <v>92.953641025640991</v>
      </c>
    </row>
    <row r="316" spans="1:2" x14ac:dyDescent="0.2">
      <c r="A316" s="37" t="s">
        <v>304</v>
      </c>
      <c r="B316" s="38">
        <v>91.921147570794474</v>
      </c>
    </row>
    <row r="317" spans="1:2" x14ac:dyDescent="0.2">
      <c r="A317" s="37" t="s">
        <v>359</v>
      </c>
      <c r="B317" s="38">
        <v>91.597013894548994</v>
      </c>
    </row>
    <row r="318" spans="1:2" x14ac:dyDescent="0.2">
      <c r="A318" s="37" t="s">
        <v>341</v>
      </c>
      <c r="B318" s="38">
        <v>91.344128511782614</v>
      </c>
    </row>
    <row r="319" spans="1:2" x14ac:dyDescent="0.2">
      <c r="A319" s="37" t="s">
        <v>352</v>
      </c>
      <c r="B319" s="38">
        <v>89.475583333333248</v>
      </c>
    </row>
    <row r="320" spans="1:2" x14ac:dyDescent="0.2">
      <c r="A320" s="18" t="s">
        <v>405</v>
      </c>
      <c r="B320" s="19">
        <v>457.29151433610031</v>
      </c>
    </row>
    <row r="326" spans="1:2" x14ac:dyDescent="0.2">
      <c r="A326" s="17" t="s">
        <v>404</v>
      </c>
      <c r="B326" t="s">
        <v>447</v>
      </c>
    </row>
    <row r="327" spans="1:2" x14ac:dyDescent="0.2">
      <c r="A327" s="37" t="s">
        <v>341</v>
      </c>
      <c r="B327" s="38">
        <v>21358426</v>
      </c>
    </row>
    <row r="328" spans="1:2" x14ac:dyDescent="0.2">
      <c r="A328" s="37" t="s">
        <v>304</v>
      </c>
      <c r="B328" s="38">
        <v>20573151.5</v>
      </c>
    </row>
    <row r="329" spans="1:2" x14ac:dyDescent="0.2">
      <c r="A329" s="37" t="s">
        <v>305</v>
      </c>
      <c r="B329" s="38">
        <v>19824952</v>
      </c>
    </row>
    <row r="330" spans="1:2" x14ac:dyDescent="0.2">
      <c r="A330" s="37" t="s">
        <v>352</v>
      </c>
      <c r="B330" s="38">
        <v>18041829</v>
      </c>
    </row>
    <row r="331" spans="1:2" x14ac:dyDescent="0.2">
      <c r="A331" s="37" t="s">
        <v>359</v>
      </c>
      <c r="B331" s="38">
        <v>22034289.5</v>
      </c>
    </row>
    <row r="332" spans="1:2" x14ac:dyDescent="0.2">
      <c r="A332" s="18" t="s">
        <v>405</v>
      </c>
      <c r="B332" s="19">
        <v>101832648</v>
      </c>
    </row>
    <row r="341" spans="1:8" x14ac:dyDescent="0.2">
      <c r="A341" s="17" t="s">
        <v>403</v>
      </c>
      <c r="B341" s="17" t="s">
        <v>429</v>
      </c>
    </row>
    <row r="342" spans="1:8" x14ac:dyDescent="0.2">
      <c r="A342" s="17" t="s">
        <v>404</v>
      </c>
      <c r="B342" t="s">
        <v>398</v>
      </c>
      <c r="C342" t="s">
        <v>389</v>
      </c>
      <c r="D342" t="s">
        <v>391</v>
      </c>
      <c r="E342" t="s">
        <v>395</v>
      </c>
      <c r="F342" t="s">
        <v>396</v>
      </c>
      <c r="G342" t="s">
        <v>397</v>
      </c>
      <c r="H342" t="s">
        <v>405</v>
      </c>
    </row>
    <row r="343" spans="1:8" x14ac:dyDescent="0.2">
      <c r="A343" s="37" t="s">
        <v>341</v>
      </c>
      <c r="B343" s="38">
        <v>3855765.8800000004</v>
      </c>
      <c r="C343" s="38">
        <v>2610204.34</v>
      </c>
      <c r="D343" s="38">
        <v>2711919.0300000003</v>
      </c>
      <c r="E343" s="38">
        <v>7611520.9899999993</v>
      </c>
      <c r="F343" s="38">
        <v>3329490.34</v>
      </c>
      <c r="G343" s="38">
        <v>4768754.3100000005</v>
      </c>
      <c r="H343" s="38">
        <v>24887654.890000001</v>
      </c>
    </row>
    <row r="344" spans="1:8" x14ac:dyDescent="0.2">
      <c r="A344" s="37" t="s">
        <v>304</v>
      </c>
      <c r="B344" s="38">
        <v>4016427.1300000004</v>
      </c>
      <c r="C344" s="38">
        <v>3423321.9</v>
      </c>
      <c r="D344" s="38">
        <v>3527382.37</v>
      </c>
      <c r="E344" s="38">
        <v>5597751.0600000005</v>
      </c>
      <c r="F344" s="38">
        <v>3978096.24</v>
      </c>
      <c r="G344" s="38">
        <v>3811193.5899999994</v>
      </c>
      <c r="H344" s="38">
        <v>24354172.290000003</v>
      </c>
    </row>
    <row r="345" spans="1:8" x14ac:dyDescent="0.2">
      <c r="A345" s="37" t="s">
        <v>305</v>
      </c>
      <c r="B345" s="38">
        <v>3960250.26</v>
      </c>
      <c r="C345" s="38">
        <v>3062340.68</v>
      </c>
      <c r="D345" s="38">
        <v>3566044.37</v>
      </c>
      <c r="E345" s="38">
        <v>5229814.7400000012</v>
      </c>
      <c r="F345" s="38">
        <v>4392907</v>
      </c>
      <c r="G345" s="38">
        <v>3293983.77</v>
      </c>
      <c r="H345" s="38">
        <v>23505340.82</v>
      </c>
    </row>
    <row r="346" spans="1:8" x14ac:dyDescent="0.2">
      <c r="A346" s="37" t="s">
        <v>352</v>
      </c>
      <c r="B346" s="38">
        <v>3077555.3899999997</v>
      </c>
      <c r="C346" s="38">
        <v>2879601.4199999995</v>
      </c>
      <c r="D346" s="38">
        <v>1941329.3099999998</v>
      </c>
      <c r="E346" s="38">
        <v>7627731.3900000006</v>
      </c>
      <c r="F346" s="38">
        <v>2250737.8899999997</v>
      </c>
      <c r="G346" s="38">
        <v>3172396.7100000004</v>
      </c>
      <c r="H346" s="38">
        <v>20949352.109999999</v>
      </c>
    </row>
    <row r="347" spans="1:8" x14ac:dyDescent="0.2">
      <c r="A347" s="37" t="s">
        <v>359</v>
      </c>
      <c r="B347" s="38">
        <v>2837117.41</v>
      </c>
      <c r="C347" s="38">
        <v>1839839.5500000003</v>
      </c>
      <c r="D347" s="38">
        <v>3644126.8</v>
      </c>
      <c r="E347" s="38">
        <v>6944325.7799999993</v>
      </c>
      <c r="F347" s="38">
        <v>4298828</v>
      </c>
      <c r="G347" s="38">
        <v>5465592.6399999997</v>
      </c>
      <c r="H347" s="38">
        <v>25029830.18</v>
      </c>
    </row>
    <row r="348" spans="1:8" x14ac:dyDescent="0.2">
      <c r="A348" s="18" t="s">
        <v>405</v>
      </c>
      <c r="B348" s="19">
        <v>17747116.07</v>
      </c>
      <c r="C348" s="19">
        <v>13815307.890000001</v>
      </c>
      <c r="D348" s="19">
        <v>15390801.879999999</v>
      </c>
      <c r="E348" s="19">
        <v>33011143.960000001</v>
      </c>
      <c r="F348" s="19">
        <v>18250059.469999999</v>
      </c>
      <c r="G348" s="19">
        <v>20511921.02</v>
      </c>
      <c r="H348" s="19">
        <v>118726350.28999999</v>
      </c>
    </row>
    <row r="357" spans="1:2" x14ac:dyDescent="0.2">
      <c r="A357" s="17" t="s">
        <v>404</v>
      </c>
      <c r="B357" t="s">
        <v>403</v>
      </c>
    </row>
    <row r="358" spans="1:2" x14ac:dyDescent="0.2">
      <c r="A358" s="18" t="s">
        <v>359</v>
      </c>
      <c r="B358" s="19">
        <v>25029830.18</v>
      </c>
    </row>
    <row r="359" spans="1:2" x14ac:dyDescent="0.2">
      <c r="A359" s="18" t="s">
        <v>341</v>
      </c>
      <c r="B359" s="19">
        <v>24887654.889999993</v>
      </c>
    </row>
    <row r="360" spans="1:2" x14ac:dyDescent="0.2">
      <c r="A360" s="18" t="s">
        <v>304</v>
      </c>
      <c r="B360" s="19">
        <v>24354172.289999995</v>
      </c>
    </row>
    <row r="361" spans="1:2" x14ac:dyDescent="0.2">
      <c r="A361" s="18" t="s">
        <v>305</v>
      </c>
      <c r="B361" s="19">
        <v>23505340.82</v>
      </c>
    </row>
    <row r="362" spans="1:2" x14ac:dyDescent="0.2">
      <c r="A362" s="18" t="s">
        <v>352</v>
      </c>
      <c r="B362" s="19">
        <v>20949352.109999999</v>
      </c>
    </row>
    <row r="363" spans="1:2" x14ac:dyDescent="0.2">
      <c r="A363" s="18" t="s">
        <v>405</v>
      </c>
      <c r="B363" s="19">
        <v>118726350.28999999</v>
      </c>
    </row>
    <row r="364" spans="1:2" x14ac:dyDescent="0.2">
      <c r="A364" s="18"/>
      <c r="B364" s="19"/>
    </row>
    <row r="365" spans="1:2" x14ac:dyDescent="0.2">
      <c r="A365" s="18"/>
      <c r="B365" s="19"/>
    </row>
    <row r="366" spans="1:2" x14ac:dyDescent="0.2">
      <c r="A366" s="18"/>
      <c r="B366" s="19"/>
    </row>
    <row r="367" spans="1:2" x14ac:dyDescent="0.2">
      <c r="A367" s="18"/>
      <c r="B367" s="19"/>
    </row>
    <row r="368" spans="1:2" x14ac:dyDescent="0.2">
      <c r="A368" s="18"/>
      <c r="B368" s="19"/>
    </row>
    <row r="371" spans="1:3" x14ac:dyDescent="0.2">
      <c r="A371" s="36" t="s">
        <v>404</v>
      </c>
      <c r="B371" s="36" t="s">
        <v>403</v>
      </c>
      <c r="C371" s="17"/>
    </row>
    <row r="372" spans="1:3" x14ac:dyDescent="0.2">
      <c r="A372" s="37" t="s">
        <v>337</v>
      </c>
      <c r="B372" s="38">
        <v>70866837.179999992</v>
      </c>
    </row>
    <row r="373" spans="1:3" x14ac:dyDescent="0.2">
      <c r="A373" s="37" t="s">
        <v>292</v>
      </c>
      <c r="B373" s="38">
        <v>47859513.110000014</v>
      </c>
    </row>
    <row r="374" spans="1:3" x14ac:dyDescent="0.2">
      <c r="A374" s="37" t="s">
        <v>405</v>
      </c>
      <c r="B374" s="38">
        <v>118726350.29000001</v>
      </c>
    </row>
    <row r="379" spans="1:3" x14ac:dyDescent="0.2">
      <c r="A379" s="17" t="s">
        <v>404</v>
      </c>
      <c r="B379" t="s">
        <v>436</v>
      </c>
    </row>
    <row r="380" spans="1:3" x14ac:dyDescent="0.2">
      <c r="A380" s="37" t="s">
        <v>158</v>
      </c>
      <c r="B380" s="40">
        <v>0.35360044270504865</v>
      </c>
    </row>
    <row r="381" spans="1:3" x14ac:dyDescent="0.2">
      <c r="A381" s="37" t="s">
        <v>124</v>
      </c>
      <c r="B381" s="40">
        <v>0.33726814388979987</v>
      </c>
    </row>
    <row r="382" spans="1:3" x14ac:dyDescent="0.2">
      <c r="A382" s="37" t="s">
        <v>57</v>
      </c>
      <c r="B382" s="40">
        <v>0.23259646866333986</v>
      </c>
    </row>
    <row r="383" spans="1:3" x14ac:dyDescent="0.2">
      <c r="A383" s="37" t="s">
        <v>12</v>
      </c>
      <c r="B383" s="40">
        <v>7.6534944741811647E-2</v>
      </c>
    </row>
    <row r="384" spans="1:3" x14ac:dyDescent="0.2">
      <c r="A384" s="18" t="s">
        <v>405</v>
      </c>
      <c r="B384" s="31">
        <v>1</v>
      </c>
    </row>
    <row r="388" spans="1:3" x14ac:dyDescent="0.2">
      <c r="A388" s="17" t="s">
        <v>404</v>
      </c>
      <c r="B388" t="s">
        <v>446</v>
      </c>
      <c r="C388" s="17"/>
    </row>
    <row r="389" spans="1:3" x14ac:dyDescent="0.2">
      <c r="A389" s="37" t="s">
        <v>12</v>
      </c>
      <c r="B389" s="40">
        <v>0.93156748911465914</v>
      </c>
    </row>
    <row r="390" spans="1:3" x14ac:dyDescent="0.2">
      <c r="A390" s="37" t="s">
        <v>57</v>
      </c>
      <c r="B390" s="40">
        <v>0.70974463286283196</v>
      </c>
    </row>
    <row r="391" spans="1:3" x14ac:dyDescent="0.2">
      <c r="A391" s="37" t="s">
        <v>124</v>
      </c>
      <c r="B391" s="40">
        <v>0.63754998537397112</v>
      </c>
    </row>
    <row r="392" spans="1:3" x14ac:dyDescent="0.2">
      <c r="A392" s="37" t="s">
        <v>158</v>
      </c>
      <c r="B392" s="40">
        <v>0.57172326405906182</v>
      </c>
    </row>
    <row r="393" spans="1:3" x14ac:dyDescent="0.2">
      <c r="A393" s="18" t="s">
        <v>405</v>
      </c>
      <c r="B393" s="19">
        <v>0.65327359190871381</v>
      </c>
    </row>
    <row r="402" spans="1:8" x14ac:dyDescent="0.2">
      <c r="A402" s="17" t="s">
        <v>403</v>
      </c>
      <c r="B402" s="17" t="s">
        <v>429</v>
      </c>
    </row>
    <row r="403" spans="1:8" x14ac:dyDescent="0.2">
      <c r="A403" s="17" t="s">
        <v>404</v>
      </c>
      <c r="B403" t="s">
        <v>398</v>
      </c>
      <c r="C403" t="s">
        <v>389</v>
      </c>
      <c r="D403" t="s">
        <v>391</v>
      </c>
      <c r="E403" t="s">
        <v>395</v>
      </c>
      <c r="F403" t="s">
        <v>396</v>
      </c>
      <c r="G403" t="s">
        <v>397</v>
      </c>
      <c r="H403" t="s">
        <v>405</v>
      </c>
    </row>
    <row r="404" spans="1:8" x14ac:dyDescent="0.2">
      <c r="A404" s="37" t="s">
        <v>341</v>
      </c>
      <c r="B404" s="40">
        <v>0.21726154631500083</v>
      </c>
      <c r="C404" s="40">
        <v>0.18893566186022942</v>
      </c>
      <c r="D404" s="40">
        <v>0.17620388145753979</v>
      </c>
      <c r="E404" s="40">
        <v>0.23057428725350962</v>
      </c>
      <c r="F404" s="40">
        <v>0.18243723235385162</v>
      </c>
      <c r="G404" s="40">
        <v>0.23248696722994697</v>
      </c>
      <c r="H404" s="40">
        <v>0.20962199906936937</v>
      </c>
    </row>
    <row r="405" spans="1:8" x14ac:dyDescent="0.2">
      <c r="A405" s="37" t="s">
        <v>304</v>
      </c>
      <c r="B405" s="40">
        <v>0.22631435519765553</v>
      </c>
      <c r="C405" s="40">
        <v>0.24779193683246967</v>
      </c>
      <c r="D405" s="40">
        <v>0.22918769259084246</v>
      </c>
      <c r="E405" s="40">
        <v>0.1695715564047966</v>
      </c>
      <c r="F405" s="40">
        <v>0.21797716585742175</v>
      </c>
      <c r="G405" s="40">
        <v>0.18580383506176348</v>
      </c>
      <c r="H405" s="40">
        <v>0.20512861913562327</v>
      </c>
    </row>
    <row r="406" spans="1:8" x14ac:dyDescent="0.2">
      <c r="A406" s="37" t="s">
        <v>305</v>
      </c>
      <c r="B406" s="40">
        <v>0.22314894681364417</v>
      </c>
      <c r="C406" s="40">
        <v>0.22166286154336298</v>
      </c>
      <c r="D406" s="40">
        <v>0.2316997124518895</v>
      </c>
      <c r="E406" s="40">
        <v>0.15842573484690595</v>
      </c>
      <c r="F406" s="40">
        <v>0.2407064485034251</v>
      </c>
      <c r="G406" s="40">
        <v>0.16058875064837785</v>
      </c>
      <c r="H406" s="40">
        <v>0.19797914079381748</v>
      </c>
    </row>
    <row r="407" spans="1:8" x14ac:dyDescent="0.2">
      <c r="A407" s="37" t="s">
        <v>352</v>
      </c>
      <c r="B407" s="40">
        <v>0.17341157728732878</v>
      </c>
      <c r="C407" s="40">
        <v>0.2084355587966559</v>
      </c>
      <c r="D407" s="40">
        <v>0.1261356831915765</v>
      </c>
      <c r="E407" s="40">
        <v>0.23106534566759074</v>
      </c>
      <c r="F407" s="40">
        <v>0.1233277016822784</v>
      </c>
      <c r="G407" s="40">
        <v>0.15466112154521158</v>
      </c>
      <c r="H407" s="40">
        <v>0.17645073784235166</v>
      </c>
    </row>
    <row r="408" spans="1:8" x14ac:dyDescent="0.2">
      <c r="A408" s="37" t="s">
        <v>359</v>
      </c>
      <c r="B408" s="40">
        <v>0.15986357438637072</v>
      </c>
      <c r="C408" s="40">
        <v>0.13317398096728195</v>
      </c>
      <c r="D408" s="40">
        <v>0.23677303030815183</v>
      </c>
      <c r="E408" s="40">
        <v>0.2103630758271971</v>
      </c>
      <c r="F408" s="40">
        <v>0.23555145160302321</v>
      </c>
      <c r="G408" s="40">
        <v>0.26645932551470014</v>
      </c>
      <c r="H408" s="40">
        <v>0.21081950315883832</v>
      </c>
    </row>
    <row r="409" spans="1:8" x14ac:dyDescent="0.2">
      <c r="A409" s="18" t="s">
        <v>405</v>
      </c>
      <c r="B409" s="31">
        <v>1</v>
      </c>
      <c r="C409" s="31">
        <v>1</v>
      </c>
      <c r="D409" s="31">
        <v>1</v>
      </c>
      <c r="E409" s="31">
        <v>1</v>
      </c>
      <c r="F409" s="31">
        <v>1</v>
      </c>
      <c r="G409" s="31">
        <v>1</v>
      </c>
      <c r="H409" s="31">
        <v>1</v>
      </c>
    </row>
    <row r="417" spans="1:8" x14ac:dyDescent="0.2">
      <c r="A417" s="17" t="s">
        <v>403</v>
      </c>
      <c r="B417" s="17" t="s">
        <v>429</v>
      </c>
    </row>
    <row r="418" spans="1:8" x14ac:dyDescent="0.2">
      <c r="A418" s="17" t="s">
        <v>404</v>
      </c>
      <c r="B418" t="s">
        <v>398</v>
      </c>
      <c r="C418" t="s">
        <v>389</v>
      </c>
      <c r="D418" t="s">
        <v>391</v>
      </c>
      <c r="E418" t="s">
        <v>395</v>
      </c>
      <c r="F418" t="s">
        <v>396</v>
      </c>
      <c r="G418" t="s">
        <v>397</v>
      </c>
      <c r="H418" t="s">
        <v>405</v>
      </c>
    </row>
    <row r="419" spans="1:8" x14ac:dyDescent="0.2">
      <c r="A419" s="37" t="s">
        <v>341</v>
      </c>
      <c r="B419" s="40">
        <v>0.21726154631500083</v>
      </c>
      <c r="C419" s="40">
        <v>0.18893566186022942</v>
      </c>
      <c r="D419" s="40">
        <v>0.17620388145753979</v>
      </c>
      <c r="E419" s="40">
        <v>0.23057428725350962</v>
      </c>
      <c r="F419" s="40">
        <v>0.18243723235385162</v>
      </c>
      <c r="G419" s="40">
        <v>0.23248696722994697</v>
      </c>
      <c r="H419" s="40">
        <v>0.20962199906936937</v>
      </c>
    </row>
    <row r="420" spans="1:8" x14ac:dyDescent="0.2">
      <c r="A420" s="37" t="s">
        <v>304</v>
      </c>
      <c r="B420" s="40">
        <v>0.22631435519765553</v>
      </c>
      <c r="C420" s="40">
        <v>0.24779193683246967</v>
      </c>
      <c r="D420" s="40">
        <v>0.22918769259084246</v>
      </c>
      <c r="E420" s="40">
        <v>0.1695715564047966</v>
      </c>
      <c r="F420" s="40">
        <v>0.21797716585742175</v>
      </c>
      <c r="G420" s="40">
        <v>0.18580383506176348</v>
      </c>
      <c r="H420" s="40">
        <v>0.20512861913562327</v>
      </c>
    </row>
    <row r="421" spans="1:8" x14ac:dyDescent="0.2">
      <c r="A421" s="37" t="s">
        <v>305</v>
      </c>
      <c r="B421" s="40">
        <v>0.22314894681364417</v>
      </c>
      <c r="C421" s="40">
        <v>0.22166286154336298</v>
      </c>
      <c r="D421" s="40">
        <v>0.2316997124518895</v>
      </c>
      <c r="E421" s="40">
        <v>0.15842573484690595</v>
      </c>
      <c r="F421" s="40">
        <v>0.2407064485034251</v>
      </c>
      <c r="G421" s="40">
        <v>0.16058875064837785</v>
      </c>
      <c r="H421" s="40">
        <v>0.19797914079381748</v>
      </c>
    </row>
    <row r="422" spans="1:8" x14ac:dyDescent="0.2">
      <c r="A422" s="37" t="s">
        <v>352</v>
      </c>
      <c r="B422" s="40">
        <v>0.17341157728732878</v>
      </c>
      <c r="C422" s="40">
        <v>0.2084355587966559</v>
      </c>
      <c r="D422" s="40">
        <v>0.1261356831915765</v>
      </c>
      <c r="E422" s="40">
        <v>0.23106534566759074</v>
      </c>
      <c r="F422" s="40">
        <v>0.1233277016822784</v>
      </c>
      <c r="G422" s="40">
        <v>0.15466112154521158</v>
      </c>
      <c r="H422" s="40">
        <v>0.17645073784235166</v>
      </c>
    </row>
    <row r="423" spans="1:8" x14ac:dyDescent="0.2">
      <c r="A423" s="37" t="s">
        <v>359</v>
      </c>
      <c r="B423" s="40">
        <v>0.15986357438637072</v>
      </c>
      <c r="C423" s="40">
        <v>0.13317398096728195</v>
      </c>
      <c r="D423" s="40">
        <v>0.23677303030815183</v>
      </c>
      <c r="E423" s="40">
        <v>0.2103630758271971</v>
      </c>
      <c r="F423" s="40">
        <v>0.23555145160302321</v>
      </c>
      <c r="G423" s="40">
        <v>0.26645932551470014</v>
      </c>
      <c r="H423" s="40">
        <v>0.21081950315883832</v>
      </c>
    </row>
    <row r="424" spans="1:8" x14ac:dyDescent="0.2">
      <c r="A424" s="18" t="s">
        <v>405</v>
      </c>
      <c r="B424" s="31">
        <v>1</v>
      </c>
      <c r="C424" s="31">
        <v>1</v>
      </c>
      <c r="D424" s="31">
        <v>1</v>
      </c>
      <c r="E424" s="31">
        <v>1</v>
      </c>
      <c r="F424" s="31">
        <v>1</v>
      </c>
      <c r="G424" s="31">
        <v>1</v>
      </c>
      <c r="H424" s="31">
        <v>1</v>
      </c>
    </row>
    <row r="435" spans="1:8" x14ac:dyDescent="0.2">
      <c r="A435" s="16" t="s">
        <v>1573</v>
      </c>
    </row>
    <row r="436" spans="1:8" x14ac:dyDescent="0.2">
      <c r="A436" s="17" t="s">
        <v>404</v>
      </c>
      <c r="B436" t="s">
        <v>406</v>
      </c>
      <c r="D436" s="17"/>
      <c r="E436" s="17"/>
      <c r="F436" s="17"/>
      <c r="G436" s="17"/>
      <c r="H436" s="17"/>
    </row>
    <row r="437" spans="1:8" x14ac:dyDescent="0.2">
      <c r="A437" s="18" t="s">
        <v>388</v>
      </c>
      <c r="B437" s="19">
        <v>11388173.17999999</v>
      </c>
    </row>
    <row r="438" spans="1:8" x14ac:dyDescent="0.2">
      <c r="A438" s="18" t="s">
        <v>394</v>
      </c>
      <c r="B438" s="19">
        <v>4143168.5</v>
      </c>
    </row>
    <row r="439" spans="1:8" x14ac:dyDescent="0.2">
      <c r="A439" s="18" t="s">
        <v>392</v>
      </c>
      <c r="B439" s="19">
        <v>1316803.1399999997</v>
      </c>
    </row>
    <row r="440" spans="1:8" x14ac:dyDescent="0.2">
      <c r="A440" s="18" t="s">
        <v>390</v>
      </c>
      <c r="B440" s="19">
        <v>660103.08999999985</v>
      </c>
    </row>
    <row r="441" spans="1:8" x14ac:dyDescent="0.2">
      <c r="A441" s="18" t="s">
        <v>393</v>
      </c>
      <c r="B441" s="19">
        <v>-614545.62</v>
      </c>
    </row>
    <row r="442" spans="1:8" x14ac:dyDescent="0.2">
      <c r="A442" s="18" t="s">
        <v>405</v>
      </c>
      <c r="B442" s="19">
        <v>16893702.289999992</v>
      </c>
    </row>
    <row r="455" spans="1:2" x14ac:dyDescent="0.2">
      <c r="A455" s="17" t="s">
        <v>404</v>
      </c>
      <c r="B455" t="s">
        <v>406</v>
      </c>
    </row>
    <row r="456" spans="1:2" x14ac:dyDescent="0.2">
      <c r="A456" s="18" t="s">
        <v>57</v>
      </c>
      <c r="B456" s="19">
        <v>6188857.71</v>
      </c>
    </row>
    <row r="457" spans="1:2" x14ac:dyDescent="0.2">
      <c r="A457" s="18" t="s">
        <v>124</v>
      </c>
      <c r="B457" s="19">
        <v>5579522.8399999999</v>
      </c>
    </row>
    <row r="458" spans="1:2" x14ac:dyDescent="0.2">
      <c r="A458" s="18" t="s">
        <v>158</v>
      </c>
      <c r="B458" s="19">
        <v>3388866.7400000021</v>
      </c>
    </row>
    <row r="459" spans="1:2" x14ac:dyDescent="0.2">
      <c r="A459" s="18" t="s">
        <v>12</v>
      </c>
      <c r="B459" s="19">
        <v>1736455</v>
      </c>
    </row>
    <row r="460" spans="1:2" x14ac:dyDescent="0.2">
      <c r="A460" s="18" t="s">
        <v>405</v>
      </c>
      <c r="B460" s="19">
        <v>16893702.290000003</v>
      </c>
    </row>
    <row r="468" spans="1:3" x14ac:dyDescent="0.2">
      <c r="A468" s="17" t="s">
        <v>404</v>
      </c>
      <c r="B468" t="s">
        <v>406</v>
      </c>
      <c r="C468" t="s">
        <v>446</v>
      </c>
    </row>
    <row r="469" spans="1:3" x14ac:dyDescent="0.2">
      <c r="A469" s="18" t="s">
        <v>408</v>
      </c>
      <c r="B469" s="19">
        <v>3878464.5100000007</v>
      </c>
      <c r="C469" s="30">
        <v>0.65166318681318669</v>
      </c>
    </row>
    <row r="470" spans="1:3" x14ac:dyDescent="0.2">
      <c r="A470" s="21" t="s">
        <v>409</v>
      </c>
      <c r="B470" s="19">
        <v>763603.03</v>
      </c>
      <c r="C470" s="30">
        <v>0.65189358974358946</v>
      </c>
    </row>
    <row r="471" spans="1:3" x14ac:dyDescent="0.2">
      <c r="A471" s="21" t="s">
        <v>410</v>
      </c>
      <c r="B471" s="19">
        <v>1657795.0999999999</v>
      </c>
      <c r="C471" s="30">
        <v>0.65565970695970699</v>
      </c>
    </row>
    <row r="472" spans="1:3" x14ac:dyDescent="0.2">
      <c r="A472" s="21" t="s">
        <v>411</v>
      </c>
      <c r="B472" s="19">
        <v>765502.3</v>
      </c>
      <c r="C472" s="30">
        <v>0.64434816849816856</v>
      </c>
    </row>
    <row r="473" spans="1:3" x14ac:dyDescent="0.2">
      <c r="A473" s="21" t="s">
        <v>432</v>
      </c>
      <c r="B473" s="19">
        <v>691564.08000000007</v>
      </c>
      <c r="C473" s="30">
        <v>0.65075476190476178</v>
      </c>
    </row>
    <row r="474" spans="1:3" x14ac:dyDescent="0.2">
      <c r="A474" s="18" t="s">
        <v>412</v>
      </c>
      <c r="B474" s="19">
        <v>13015237.780000007</v>
      </c>
      <c r="C474" s="30">
        <v>0.65381039360722426</v>
      </c>
    </row>
    <row r="475" spans="1:3" x14ac:dyDescent="0.2">
      <c r="A475" s="21" t="s">
        <v>413</v>
      </c>
      <c r="B475" s="19">
        <v>814028.69000000006</v>
      </c>
      <c r="C475" s="30">
        <v>0.64542438240998068</v>
      </c>
    </row>
    <row r="476" spans="1:3" x14ac:dyDescent="0.2">
      <c r="A476" s="21" t="s">
        <v>414</v>
      </c>
      <c r="B476" s="19">
        <v>1148547.3899999999</v>
      </c>
      <c r="C476" s="30">
        <v>0.66613937728937711</v>
      </c>
    </row>
    <row r="477" spans="1:3" x14ac:dyDescent="0.2">
      <c r="A477" s="21" t="s">
        <v>433</v>
      </c>
      <c r="B477" s="19">
        <v>669866.87</v>
      </c>
      <c r="C477" s="30">
        <v>0.64331190476190447</v>
      </c>
    </row>
    <row r="478" spans="1:3" x14ac:dyDescent="0.2">
      <c r="A478" s="21" t="s">
        <v>434</v>
      </c>
      <c r="B478" s="19">
        <v>929984.58</v>
      </c>
      <c r="C478" s="30">
        <v>0.66921850480884548</v>
      </c>
    </row>
    <row r="479" spans="1:3" x14ac:dyDescent="0.2">
      <c r="A479" s="21" t="s">
        <v>415</v>
      </c>
      <c r="B479" s="19">
        <v>828640.06</v>
      </c>
      <c r="C479" s="30">
        <v>0.6293384615384614</v>
      </c>
    </row>
    <row r="480" spans="1:3" x14ac:dyDescent="0.2">
      <c r="A480" s="21" t="s">
        <v>416</v>
      </c>
      <c r="B480" s="19">
        <v>1473753.8199999998</v>
      </c>
      <c r="C480" s="30">
        <v>0.68883296703296726</v>
      </c>
    </row>
    <row r="481" spans="1:3" x14ac:dyDescent="0.2">
      <c r="A481" s="21" t="s">
        <v>417</v>
      </c>
      <c r="B481" s="19">
        <v>923865.68999999983</v>
      </c>
      <c r="C481" s="30">
        <v>0.63799396927049357</v>
      </c>
    </row>
    <row r="482" spans="1:3" x14ac:dyDescent="0.2">
      <c r="A482" s="21" t="s">
        <v>435</v>
      </c>
      <c r="B482" s="19">
        <v>791066.42</v>
      </c>
      <c r="C482" s="30">
        <v>0.65749029304029294</v>
      </c>
    </row>
    <row r="483" spans="1:3" x14ac:dyDescent="0.2">
      <c r="A483" s="21" t="s">
        <v>409</v>
      </c>
      <c r="B483" s="19">
        <v>1023132.24</v>
      </c>
      <c r="C483" s="30">
        <v>0.67919010989010964</v>
      </c>
    </row>
    <row r="484" spans="1:3" x14ac:dyDescent="0.2">
      <c r="A484" s="21" t="s">
        <v>410</v>
      </c>
      <c r="B484" s="19">
        <v>1781985.9200000004</v>
      </c>
      <c r="C484" s="30">
        <v>0.61800036630036637</v>
      </c>
    </row>
    <row r="485" spans="1:3" x14ac:dyDescent="0.2">
      <c r="A485" s="21" t="s">
        <v>411</v>
      </c>
      <c r="B485" s="19">
        <v>604600.19999999995</v>
      </c>
      <c r="C485" s="30">
        <v>0.64712912087912089</v>
      </c>
    </row>
    <row r="486" spans="1:3" x14ac:dyDescent="0.2">
      <c r="A486" s="21" t="s">
        <v>432</v>
      </c>
      <c r="B486" s="19">
        <v>2025765.9000000001</v>
      </c>
      <c r="C486" s="30">
        <v>0.65912655677655696</v>
      </c>
    </row>
    <row r="487" spans="1:3" x14ac:dyDescent="0.2">
      <c r="A487" s="18" t="s">
        <v>405</v>
      </c>
      <c r="B487" s="19">
        <v>16893702.290000003</v>
      </c>
      <c r="C487" s="30">
        <v>0.65327359190871481</v>
      </c>
    </row>
    <row r="496" spans="1:3" x14ac:dyDescent="0.2">
      <c r="A496" s="17" t="s">
        <v>404</v>
      </c>
      <c r="B496" t="s">
        <v>406</v>
      </c>
    </row>
    <row r="497" spans="1:10" x14ac:dyDescent="0.2">
      <c r="A497" s="18" t="s">
        <v>292</v>
      </c>
      <c r="B497" s="19">
        <v>7461409.6099999994</v>
      </c>
    </row>
    <row r="498" spans="1:10" x14ac:dyDescent="0.2">
      <c r="A498" s="18" t="s">
        <v>337</v>
      </c>
      <c r="B498" s="19">
        <v>9432292.6800000016</v>
      </c>
    </row>
    <row r="499" spans="1:10" x14ac:dyDescent="0.2">
      <c r="A499" s="18" t="s">
        <v>405</v>
      </c>
      <c r="B499" s="19">
        <v>16893702.289999999</v>
      </c>
    </row>
    <row r="507" spans="1:10" x14ac:dyDescent="0.2">
      <c r="J507">
        <f>MAX(B516:B520)</f>
        <v>25029830.18</v>
      </c>
    </row>
    <row r="508" spans="1:10" x14ac:dyDescent="0.2">
      <c r="J508" t="str">
        <f>INDEX(A516:A520,MATCH(MAX(B516:B520),B516:B520,0))</f>
        <v>United States of America</v>
      </c>
    </row>
    <row r="514" spans="1:5" x14ac:dyDescent="0.2">
      <c r="A514" s="16" t="s">
        <v>1574</v>
      </c>
    </row>
    <row r="515" spans="1:5" x14ac:dyDescent="0.2">
      <c r="A515" s="17" t="s">
        <v>404</v>
      </c>
      <c r="B515" t="s">
        <v>1586</v>
      </c>
      <c r="D515" s="41"/>
      <c r="E515" s="43"/>
    </row>
    <row r="516" spans="1:5" x14ac:dyDescent="0.2">
      <c r="A516" s="18" t="s">
        <v>341</v>
      </c>
      <c r="B516" s="49">
        <v>24887654.889999993</v>
      </c>
      <c r="E516" s="18"/>
    </row>
    <row r="517" spans="1:5" x14ac:dyDescent="0.2">
      <c r="A517" s="18" t="s">
        <v>304</v>
      </c>
      <c r="B517" s="49">
        <v>24354172.289999995</v>
      </c>
      <c r="C517" s="50">
        <f>GETPIVOTDATA("Sales",$A$515)</f>
        <v>118726350.28999999</v>
      </c>
      <c r="E517" s="18"/>
    </row>
    <row r="518" spans="1:5" x14ac:dyDescent="0.2">
      <c r="A518" s="18" t="s">
        <v>305</v>
      </c>
      <c r="B518" s="49">
        <v>23505340.82</v>
      </c>
    </row>
    <row r="519" spans="1:5" x14ac:dyDescent="0.2">
      <c r="A519" s="18" t="s">
        <v>352</v>
      </c>
      <c r="B519" s="49">
        <v>20949352.109999999</v>
      </c>
      <c r="C519" s="49">
        <f>MAX(GETPIVOTDATA("Sales",$A$515,"Country","Canada"),GETPIVOTDATA("Sales",$A$515,"Country","France"),GETPIVOTDATA("Sales",$A$515,"Country","Germany"),GETPIVOTDATA("Sales",$A$515,"Country","Mexico"),GETPIVOTDATA("Sales",$A$515,"Country","United States of America"))</f>
        <v>25029830.18</v>
      </c>
    </row>
    <row r="520" spans="1:5" x14ac:dyDescent="0.2">
      <c r="A520" s="18" t="s">
        <v>359</v>
      </c>
      <c r="B520" s="49">
        <v>25029830.18</v>
      </c>
    </row>
    <row r="521" spans="1:5" x14ac:dyDescent="0.2">
      <c r="A521" s="18" t="s">
        <v>405</v>
      </c>
      <c r="B521" s="49">
        <v>118726350.28999999</v>
      </c>
    </row>
    <row r="524" spans="1:5" x14ac:dyDescent="0.2">
      <c r="E524" s="18"/>
    </row>
    <row r="525" spans="1:5" x14ac:dyDescent="0.2">
      <c r="E525" s="18"/>
    </row>
    <row r="526" spans="1:5" x14ac:dyDescent="0.2">
      <c r="E526" s="18"/>
    </row>
    <row r="528" spans="1:5" x14ac:dyDescent="0.2">
      <c r="A528" s="16" t="s">
        <v>1575</v>
      </c>
    </row>
    <row r="529" spans="1:7" x14ac:dyDescent="0.2">
      <c r="A529" s="17" t="s">
        <v>404</v>
      </c>
      <c r="B529" t="s">
        <v>1587</v>
      </c>
      <c r="D529" s="17"/>
      <c r="E529" s="17"/>
      <c r="F529" s="17"/>
      <c r="G529" s="17"/>
    </row>
    <row r="530" spans="1:7" x14ac:dyDescent="0.2">
      <c r="A530" s="18" t="s">
        <v>341</v>
      </c>
      <c r="B530" s="49">
        <v>3529228.89</v>
      </c>
    </row>
    <row r="531" spans="1:7" x14ac:dyDescent="0.2">
      <c r="A531" s="18" t="s">
        <v>304</v>
      </c>
      <c r="B531" s="49">
        <v>3781020.79</v>
      </c>
      <c r="C531" s="50">
        <f>GETPIVOTDATA("Profit",$A$529)</f>
        <v>16893702.289999999</v>
      </c>
    </row>
    <row r="532" spans="1:7" x14ac:dyDescent="0.2">
      <c r="A532" s="18" t="s">
        <v>305</v>
      </c>
      <c r="B532" s="49">
        <v>3680388.8200000012</v>
      </c>
    </row>
    <row r="533" spans="1:7" x14ac:dyDescent="0.2">
      <c r="A533" s="18" t="s">
        <v>352</v>
      </c>
      <c r="B533" s="49">
        <v>2907523.1100000003</v>
      </c>
    </row>
    <row r="534" spans="1:7" x14ac:dyDescent="0.2">
      <c r="A534" s="18" t="s">
        <v>359</v>
      </c>
      <c r="B534" s="49">
        <v>2995540.6799999997</v>
      </c>
    </row>
    <row r="535" spans="1:7" x14ac:dyDescent="0.2">
      <c r="A535" s="18" t="s">
        <v>405</v>
      </c>
      <c r="B535" s="49">
        <v>16893702.289999999</v>
      </c>
      <c r="E535" s="18"/>
    </row>
    <row r="536" spans="1:7" x14ac:dyDescent="0.2">
      <c r="E536" s="18"/>
    </row>
    <row r="537" spans="1:7" x14ac:dyDescent="0.2">
      <c r="E537" s="18"/>
    </row>
    <row r="539" spans="1:7" x14ac:dyDescent="0.2">
      <c r="A539" s="18"/>
      <c r="B539" s="19"/>
    </row>
    <row r="542" spans="1:7" x14ac:dyDescent="0.2">
      <c r="A542" s="16" t="s">
        <v>1576</v>
      </c>
    </row>
    <row r="543" spans="1:7" x14ac:dyDescent="0.2">
      <c r="A543" s="17" t="s">
        <v>404</v>
      </c>
      <c r="B543" t="s">
        <v>1588</v>
      </c>
      <c r="C543" s="17"/>
      <c r="D543" s="17"/>
      <c r="E543" s="17"/>
      <c r="F543" s="17"/>
      <c r="G543" s="17"/>
    </row>
    <row r="544" spans="1:7" x14ac:dyDescent="0.2">
      <c r="A544" s="18" t="s">
        <v>341</v>
      </c>
      <c r="B544" s="48">
        <v>24887654.889999993</v>
      </c>
      <c r="C544" s="17"/>
      <c r="D544" s="17"/>
      <c r="E544" s="17"/>
      <c r="F544" s="17"/>
      <c r="G544" s="17"/>
    </row>
    <row r="545" spans="1:7" x14ac:dyDescent="0.2">
      <c r="A545" s="18" t="s">
        <v>304</v>
      </c>
      <c r="B545" s="48">
        <v>24354172.289999995</v>
      </c>
      <c r="C545" s="50">
        <f>GETPIVOTDATA("Sales",$A$543)</f>
        <v>118726350.28999999</v>
      </c>
    </row>
    <row r="546" spans="1:7" x14ac:dyDescent="0.2">
      <c r="A546" s="18" t="s">
        <v>305</v>
      </c>
      <c r="B546" s="48">
        <v>23505340.82</v>
      </c>
    </row>
    <row r="547" spans="1:7" x14ac:dyDescent="0.2">
      <c r="A547" s="18" t="s">
        <v>352</v>
      </c>
      <c r="B547" s="48">
        <v>20949352.109999999</v>
      </c>
    </row>
    <row r="548" spans="1:7" x14ac:dyDescent="0.2">
      <c r="A548" s="18" t="s">
        <v>359</v>
      </c>
      <c r="B548" s="48">
        <v>25029830.18</v>
      </c>
    </row>
    <row r="549" spans="1:7" x14ac:dyDescent="0.2">
      <c r="A549" s="18" t="s">
        <v>405</v>
      </c>
      <c r="B549" s="48">
        <v>118726350.28999999</v>
      </c>
      <c r="E549" s="18"/>
    </row>
    <row r="550" spans="1:7" x14ac:dyDescent="0.2">
      <c r="E550" s="18"/>
    </row>
    <row r="551" spans="1:7" x14ac:dyDescent="0.2">
      <c r="E551" s="18"/>
    </row>
    <row r="555" spans="1:7" x14ac:dyDescent="0.2">
      <c r="A555" s="16" t="s">
        <v>1577</v>
      </c>
    </row>
    <row r="556" spans="1:7" x14ac:dyDescent="0.2">
      <c r="A556" s="17" t="s">
        <v>404</v>
      </c>
      <c r="B556" t="s">
        <v>1589</v>
      </c>
      <c r="C556" s="17"/>
      <c r="D556" s="17"/>
      <c r="E556" s="17"/>
      <c r="F556" s="17"/>
      <c r="G556" s="17"/>
    </row>
    <row r="557" spans="1:7" x14ac:dyDescent="0.2">
      <c r="A557" s="18" t="s">
        <v>341</v>
      </c>
      <c r="B557" s="48">
        <v>3529228.89</v>
      </c>
    </row>
    <row r="558" spans="1:7" x14ac:dyDescent="0.2">
      <c r="A558" s="18" t="s">
        <v>304</v>
      </c>
      <c r="B558" s="48">
        <v>3781020.79</v>
      </c>
      <c r="C558" s="50">
        <f>GETPIVOTDATA("Profit",$A$556)</f>
        <v>16893702.289999999</v>
      </c>
    </row>
    <row r="559" spans="1:7" x14ac:dyDescent="0.2">
      <c r="A559" s="18" t="s">
        <v>305</v>
      </c>
      <c r="B559" s="48">
        <v>3680388.8200000012</v>
      </c>
    </row>
    <row r="560" spans="1:7" x14ac:dyDescent="0.2">
      <c r="A560" s="18" t="s">
        <v>352</v>
      </c>
      <c r="B560" s="48">
        <v>2907523.1100000003</v>
      </c>
    </row>
    <row r="561" spans="1:4" x14ac:dyDescent="0.2">
      <c r="A561" s="18" t="s">
        <v>359</v>
      </c>
      <c r="B561" s="48">
        <v>2995540.6799999997</v>
      </c>
    </row>
    <row r="562" spans="1:4" x14ac:dyDescent="0.2">
      <c r="A562" s="18" t="s">
        <v>405</v>
      </c>
      <c r="B562" s="48">
        <v>16893702.289999999</v>
      </c>
    </row>
    <row r="567" spans="1:4" x14ac:dyDescent="0.2">
      <c r="A567" s="16" t="s">
        <v>1574</v>
      </c>
    </row>
    <row r="568" spans="1:4" x14ac:dyDescent="0.2">
      <c r="A568" s="17" t="s">
        <v>404</v>
      </c>
      <c r="B568" t="s">
        <v>403</v>
      </c>
      <c r="C568" t="s">
        <v>406</v>
      </c>
      <c r="D568" t="s">
        <v>446</v>
      </c>
    </row>
    <row r="569" spans="1:4" x14ac:dyDescent="0.2">
      <c r="A569" s="18" t="s">
        <v>359</v>
      </c>
      <c r="B569" s="19">
        <v>25029830.18</v>
      </c>
      <c r="C569" s="19">
        <v>2995540.6799999997</v>
      </c>
      <c r="D569" s="44">
        <v>0.6542643849610642</v>
      </c>
    </row>
    <row r="570" spans="1:4" x14ac:dyDescent="0.2">
      <c r="A570" s="18" t="s">
        <v>341</v>
      </c>
      <c r="B570" s="19">
        <v>24887654.889999993</v>
      </c>
      <c r="C570" s="19">
        <v>3529228.89</v>
      </c>
      <c r="D570" s="44">
        <v>0.65245806079844726</v>
      </c>
    </row>
    <row r="571" spans="1:4" x14ac:dyDescent="0.2">
      <c r="A571" s="18" t="s">
        <v>304</v>
      </c>
      <c r="B571" s="19">
        <v>24354172.289999995</v>
      </c>
      <c r="C571" s="19">
        <v>3781020.79</v>
      </c>
      <c r="D571" s="44">
        <v>0.65657962550567484</v>
      </c>
    </row>
    <row r="572" spans="1:4" x14ac:dyDescent="0.2">
      <c r="A572" s="18" t="s">
        <v>305</v>
      </c>
      <c r="B572" s="19">
        <v>23505340.82</v>
      </c>
      <c r="C572" s="19">
        <v>3680388.8200000012</v>
      </c>
      <c r="D572" s="44">
        <v>0.66395457875457853</v>
      </c>
    </row>
    <row r="573" spans="1:4" x14ac:dyDescent="0.2">
      <c r="A573" s="18" t="s">
        <v>352</v>
      </c>
      <c r="B573" s="19">
        <v>20949352.109999999</v>
      </c>
      <c r="C573" s="19">
        <v>2907523.1100000003</v>
      </c>
      <c r="D573" s="44">
        <v>0.6391113095238089</v>
      </c>
    </row>
    <row r="574" spans="1:4" x14ac:dyDescent="0.2">
      <c r="A574" s="18" t="s">
        <v>405</v>
      </c>
      <c r="B574" s="19">
        <v>118726350.29000001</v>
      </c>
      <c r="C574" s="19">
        <v>16893702.290000007</v>
      </c>
      <c r="D574" s="44">
        <v>0.65327359190871381</v>
      </c>
    </row>
    <row r="580" spans="1:1" x14ac:dyDescent="0.2">
      <c r="A580" s="16"/>
    </row>
    <row r="592" spans="1:1" x14ac:dyDescent="0.2">
      <c r="A592" s="16"/>
    </row>
    <row r="600" spans="1:7" x14ac:dyDescent="0.2">
      <c r="A600" s="16" t="s">
        <v>1574</v>
      </c>
    </row>
    <row r="601" spans="1:7" x14ac:dyDescent="0.2">
      <c r="A601" s="17" t="s">
        <v>404</v>
      </c>
      <c r="B601" t="s">
        <v>403</v>
      </c>
      <c r="C601" t="s">
        <v>406</v>
      </c>
      <c r="D601" t="s">
        <v>446</v>
      </c>
      <c r="G601" s="41"/>
    </row>
    <row r="602" spans="1:7" x14ac:dyDescent="0.2">
      <c r="A602" s="18" t="s">
        <v>359</v>
      </c>
      <c r="B602" s="31">
        <v>1</v>
      </c>
      <c r="C602" s="31">
        <v>1</v>
      </c>
      <c r="D602" s="44">
        <v>1</v>
      </c>
      <c r="G602" s="47"/>
    </row>
    <row r="603" spans="1:7" x14ac:dyDescent="0.2">
      <c r="A603" s="46" t="s">
        <v>394</v>
      </c>
      <c r="B603" s="31">
        <v>0.45771620972300159</v>
      </c>
      <c r="C603" s="31">
        <v>0.35788497454155765</v>
      </c>
      <c r="D603" s="44">
        <v>0.15528890512059024</v>
      </c>
      <c r="G603" s="19"/>
    </row>
    <row r="604" spans="1:7" x14ac:dyDescent="0.2">
      <c r="A604" s="46" t="s">
        <v>388</v>
      </c>
      <c r="B604" s="31">
        <v>0.33522984613393797</v>
      </c>
      <c r="C604" s="31">
        <v>0.56866232242254167</v>
      </c>
      <c r="D604" s="44">
        <v>0.70615813496806334</v>
      </c>
      <c r="G604" s="19"/>
    </row>
    <row r="605" spans="1:7" x14ac:dyDescent="0.2">
      <c r="A605" s="46" t="s">
        <v>393</v>
      </c>
      <c r="B605" s="31">
        <v>0.1738168005421121</v>
      </c>
      <c r="C605" s="31">
        <v>-5.8465238402304068E-2</v>
      </c>
      <c r="D605" s="44">
        <v>-3.9802971497854681E-2</v>
      </c>
      <c r="G605" s="19"/>
    </row>
    <row r="606" spans="1:7" x14ac:dyDescent="0.2">
      <c r="A606" s="46" t="s">
        <v>390</v>
      </c>
      <c r="B606" s="31">
        <v>1.859324960070503E-2</v>
      </c>
      <c r="C606" s="31">
        <v>4.2453397761902552E-2</v>
      </c>
      <c r="D606" s="44">
        <v>0.60258515804307899</v>
      </c>
      <c r="G606" s="19"/>
    </row>
    <row r="607" spans="1:7" x14ac:dyDescent="0.2">
      <c r="A607" s="46" t="s">
        <v>392</v>
      </c>
      <c r="B607" s="31">
        <v>1.4643894000242864E-2</v>
      </c>
      <c r="C607" s="31">
        <v>8.9464543676302202E-2</v>
      </c>
      <c r="D607" s="44">
        <v>4.1634545034299952</v>
      </c>
      <c r="G607" s="19"/>
    </row>
    <row r="608" spans="1:7" x14ac:dyDescent="0.2">
      <c r="A608" s="18" t="s">
        <v>341</v>
      </c>
      <c r="B608" s="31">
        <v>1</v>
      </c>
      <c r="C608" s="31">
        <v>1</v>
      </c>
      <c r="D608" s="44">
        <v>1</v>
      </c>
      <c r="G608" s="47"/>
    </row>
    <row r="609" spans="1:7" x14ac:dyDescent="0.2">
      <c r="A609" s="46" t="s">
        <v>388</v>
      </c>
      <c r="B609" s="31">
        <v>0.43158893706437101</v>
      </c>
      <c r="C609" s="31">
        <v>0.63993342183028545</v>
      </c>
      <c r="D609" s="44">
        <v>0.71689056162265263</v>
      </c>
      <c r="G609" s="19"/>
    </row>
    <row r="610" spans="1:7" x14ac:dyDescent="0.2">
      <c r="A610" s="46" t="s">
        <v>394</v>
      </c>
      <c r="B610" s="31">
        <v>0.36875909122669442</v>
      </c>
      <c r="C610" s="31">
        <v>0.25523960844602511</v>
      </c>
      <c r="D610" s="44">
        <v>0.14928162567385031</v>
      </c>
      <c r="G610" s="19"/>
    </row>
    <row r="611" spans="1:7" x14ac:dyDescent="0.2">
      <c r="A611" s="46" t="s">
        <v>393</v>
      </c>
      <c r="B611" s="31">
        <v>0.15941603447716399</v>
      </c>
      <c r="C611" s="31">
        <v>-3.4429263101719648E-2</v>
      </c>
      <c r="D611" s="44">
        <v>-3.5123585780551692E-2</v>
      </c>
      <c r="G611" s="19"/>
    </row>
    <row r="612" spans="1:7" x14ac:dyDescent="0.2">
      <c r="A612" s="46" t="s">
        <v>390</v>
      </c>
      <c r="B612" s="31">
        <v>2.0500685269667845E-2</v>
      </c>
      <c r="C612" s="31">
        <v>3.7540489475025224E-2</v>
      </c>
      <c r="D612" s="44">
        <v>0.53873196830853942</v>
      </c>
      <c r="G612" s="19"/>
    </row>
    <row r="613" spans="1:7" x14ac:dyDescent="0.2">
      <c r="A613" s="46" t="s">
        <v>392</v>
      </c>
      <c r="B613" s="31">
        <v>1.9735251962102393E-2</v>
      </c>
      <c r="C613" s="31">
        <v>0.10171574335038379</v>
      </c>
      <c r="D613" s="44">
        <v>4.1964383069302063</v>
      </c>
      <c r="G613" s="19"/>
    </row>
    <row r="614" spans="1:7" x14ac:dyDescent="0.2">
      <c r="A614" s="18" t="s">
        <v>304</v>
      </c>
      <c r="B614" s="31">
        <v>1</v>
      </c>
      <c r="C614" s="31">
        <v>1</v>
      </c>
      <c r="D614" s="44">
        <v>1</v>
      </c>
      <c r="G614" s="47"/>
    </row>
    <row r="615" spans="1:7" x14ac:dyDescent="0.2">
      <c r="A615" s="46" t="s">
        <v>388</v>
      </c>
      <c r="B615" s="31">
        <v>0.49797556556581263</v>
      </c>
      <c r="C615" s="31">
        <v>0.71671523921982994</v>
      </c>
      <c r="D615" s="44">
        <v>0.71906055942095626</v>
      </c>
      <c r="G615" s="19"/>
    </row>
    <row r="616" spans="1:7" x14ac:dyDescent="0.2">
      <c r="A616" s="46" t="s">
        <v>394</v>
      </c>
      <c r="B616" s="31">
        <v>0.30260139462945379</v>
      </c>
      <c r="C616" s="31">
        <v>0.19326302091028702</v>
      </c>
      <c r="D616" s="44">
        <v>0.16570724368153517</v>
      </c>
      <c r="G616" s="19"/>
    </row>
    <row r="617" spans="1:7" x14ac:dyDescent="0.2">
      <c r="A617" s="46" t="s">
        <v>393</v>
      </c>
      <c r="B617" s="31">
        <v>0.15976279479625866</v>
      </c>
      <c r="C617" s="31">
        <v>-2.5323682496863498E-2</v>
      </c>
      <c r="D617" s="44">
        <v>-4.2042373999132146E-2</v>
      </c>
      <c r="G617" s="19"/>
    </row>
    <row r="618" spans="1:7" x14ac:dyDescent="0.2">
      <c r="A618" s="46" t="s">
        <v>390</v>
      </c>
      <c r="B618" s="31">
        <v>2.4381944618328058E-2</v>
      </c>
      <c r="C618" s="31">
        <v>4.3517898773574315E-2</v>
      </c>
      <c r="D618" s="44">
        <v>0.60388716136072274</v>
      </c>
      <c r="G618" s="19"/>
    </row>
    <row r="619" spans="1:7" x14ac:dyDescent="0.2">
      <c r="A619" s="46" t="s">
        <v>392</v>
      </c>
      <c r="B619" s="31">
        <v>1.5278300390146412E-2</v>
      </c>
      <c r="C619" s="31">
        <v>7.1827523593172307E-2</v>
      </c>
      <c r="D619" s="44">
        <v>4.1152662906940058</v>
      </c>
      <c r="G619" s="19"/>
    </row>
    <row r="620" spans="1:7" x14ac:dyDescent="0.2">
      <c r="A620" s="18" t="s">
        <v>305</v>
      </c>
      <c r="B620" s="31">
        <v>1</v>
      </c>
      <c r="C620" s="31">
        <v>1</v>
      </c>
      <c r="D620" s="44">
        <v>1</v>
      </c>
      <c r="G620" s="45"/>
    </row>
    <row r="621" spans="1:7" x14ac:dyDescent="0.2">
      <c r="A621" s="46" t="s">
        <v>388</v>
      </c>
      <c r="B621" s="31">
        <v>0.48724653804019991</v>
      </c>
      <c r="C621" s="31">
        <v>0.72741660485752735</v>
      </c>
      <c r="D621" s="44">
        <v>0.70316827357006195</v>
      </c>
    </row>
    <row r="622" spans="1:7" x14ac:dyDescent="0.2">
      <c r="A622" s="46" t="s">
        <v>394</v>
      </c>
      <c r="B622" s="31">
        <v>0.31175246749729951</v>
      </c>
      <c r="C622" s="31">
        <v>0.20975310972714015</v>
      </c>
      <c r="D622" s="44">
        <v>0.19639897693694569</v>
      </c>
    </row>
    <row r="623" spans="1:7" x14ac:dyDescent="0.2">
      <c r="A623" s="46" t="s">
        <v>393</v>
      </c>
      <c r="B623" s="31">
        <v>0.17386798520796767</v>
      </c>
      <c r="C623" s="31">
        <v>-2.7571475450792176E-2</v>
      </c>
      <c r="D623" s="44">
        <v>-4.0790942934884541E-2</v>
      </c>
    </row>
    <row r="624" spans="1:7" x14ac:dyDescent="0.2">
      <c r="A624" s="46" t="s">
        <v>392</v>
      </c>
      <c r="B624" s="31">
        <v>1.4312742051957187E-2</v>
      </c>
      <c r="C624" s="31">
        <v>6.7209985710151118E-2</v>
      </c>
      <c r="D624" s="44">
        <v>4.1569108615488499</v>
      </c>
    </row>
    <row r="625" spans="1:8" x14ac:dyDescent="0.2">
      <c r="A625" s="46" t="s">
        <v>390</v>
      </c>
      <c r="B625" s="31">
        <v>1.2820267202575279E-2</v>
      </c>
      <c r="C625" s="31">
        <v>2.3191775155973867E-2</v>
      </c>
      <c r="D625" s="44">
        <v>0.57797628373890253</v>
      </c>
    </row>
    <row r="626" spans="1:8" x14ac:dyDescent="0.2">
      <c r="A626" s="18" t="s">
        <v>352</v>
      </c>
      <c r="B626" s="31">
        <v>1</v>
      </c>
      <c r="C626" s="31">
        <v>1</v>
      </c>
      <c r="D626" s="44">
        <v>1</v>
      </c>
    </row>
    <row r="627" spans="1:8" x14ac:dyDescent="0.2">
      <c r="A627" s="46" t="s">
        <v>388</v>
      </c>
      <c r="B627" s="31">
        <v>0.46739389975339912</v>
      </c>
      <c r="C627" s="31">
        <v>0.70133901016525391</v>
      </c>
      <c r="D627" s="44">
        <v>0.69361939523538529</v>
      </c>
    </row>
    <row r="628" spans="1:8" x14ac:dyDescent="0.2">
      <c r="A628" s="46" t="s">
        <v>394</v>
      </c>
      <c r="B628" s="31">
        <v>0.33873868569962201</v>
      </c>
      <c r="C628" s="31">
        <v>0.22961330821545908</v>
      </c>
      <c r="D628" s="44">
        <v>0.17117519025208927</v>
      </c>
    </row>
    <row r="629" spans="1:8" x14ac:dyDescent="0.2">
      <c r="A629" s="46" t="s">
        <v>393</v>
      </c>
      <c r="B629" s="31">
        <v>0.15828084957420677</v>
      </c>
      <c r="C629" s="31">
        <v>-4.1505689012391038E-2</v>
      </c>
      <c r="D629" s="44">
        <v>-4.9710954664540674E-2</v>
      </c>
    </row>
    <row r="630" spans="1:8" x14ac:dyDescent="0.2">
      <c r="A630" s="46" t="s">
        <v>390</v>
      </c>
      <c r="B630" s="31">
        <v>2.4398673396491988E-2</v>
      </c>
      <c r="C630" s="31">
        <v>5.1778229889976712E-2</v>
      </c>
      <c r="D630" s="44">
        <v>0.63564827275970026</v>
      </c>
    </row>
    <row r="631" spans="1:8" x14ac:dyDescent="0.2">
      <c r="A631" s="46" t="s">
        <v>392</v>
      </c>
      <c r="B631" s="31">
        <v>1.1187891576280357E-2</v>
      </c>
      <c r="C631" s="31">
        <v>5.8775140741701627E-2</v>
      </c>
      <c r="D631" s="44">
        <v>4.1620293059465912</v>
      </c>
    </row>
    <row r="632" spans="1:8" x14ac:dyDescent="0.2">
      <c r="A632" s="18" t="s">
        <v>405</v>
      </c>
      <c r="B632" s="31"/>
      <c r="C632" s="31"/>
      <c r="D632" s="44"/>
    </row>
    <row r="635" spans="1:8" x14ac:dyDescent="0.2">
      <c r="A635" s="36" t="s">
        <v>403</v>
      </c>
      <c r="B635" s="36" t="s">
        <v>429</v>
      </c>
      <c r="C635" s="36"/>
      <c r="D635" s="36"/>
      <c r="E635" s="36"/>
      <c r="F635" s="36"/>
      <c r="G635" s="36"/>
      <c r="H635" s="36"/>
    </row>
    <row r="636" spans="1:8" x14ac:dyDescent="0.2">
      <c r="A636" s="36"/>
      <c r="B636" s="36" t="s">
        <v>359</v>
      </c>
      <c r="C636" s="36"/>
      <c r="D636" s="36"/>
      <c r="E636" s="36"/>
      <c r="F636" s="36"/>
      <c r="G636" s="36" t="s">
        <v>1578</v>
      </c>
      <c r="H636" s="36" t="s">
        <v>405</v>
      </c>
    </row>
    <row r="637" spans="1:8" x14ac:dyDescent="0.2">
      <c r="A637" s="36" t="s">
        <v>404</v>
      </c>
      <c r="B637" s="36" t="s">
        <v>392</v>
      </c>
      <c r="C637" s="36" t="s">
        <v>393</v>
      </c>
      <c r="D637" s="36" t="s">
        <v>388</v>
      </c>
      <c r="E637" s="36" t="s">
        <v>390</v>
      </c>
      <c r="F637" s="36" t="s">
        <v>394</v>
      </c>
      <c r="G637" s="36"/>
      <c r="H637" s="36"/>
    </row>
    <row r="638" spans="1:8" x14ac:dyDescent="0.2">
      <c r="A638" s="37" t="s">
        <v>408</v>
      </c>
      <c r="B638" s="38">
        <v>63705.72</v>
      </c>
      <c r="C638" s="38">
        <v>666917.5</v>
      </c>
      <c r="D638" s="38">
        <v>1411604.26</v>
      </c>
      <c r="E638" s="38">
        <v>122143.35</v>
      </c>
      <c r="F638" s="38">
        <v>2860044</v>
      </c>
      <c r="G638" s="38">
        <v>5124414.83</v>
      </c>
      <c r="H638" s="38">
        <v>5124414.83</v>
      </c>
    </row>
    <row r="639" spans="1:8" x14ac:dyDescent="0.2">
      <c r="A639" s="42" t="s">
        <v>409</v>
      </c>
      <c r="B639" s="38">
        <v>23629.32</v>
      </c>
      <c r="C639" s="38">
        <v>40837.5</v>
      </c>
      <c r="D639" s="38">
        <v>133762.6</v>
      </c>
      <c r="E639" s="38">
        <v>40887.449999999997</v>
      </c>
      <c r="F639" s="38">
        <v>741906</v>
      </c>
      <c r="G639" s="38">
        <v>981022.87</v>
      </c>
      <c r="H639" s="38">
        <v>981022.87</v>
      </c>
    </row>
    <row r="640" spans="1:8" x14ac:dyDescent="0.2">
      <c r="A640" s="42" t="s">
        <v>410</v>
      </c>
      <c r="B640" s="38">
        <v>8337.6</v>
      </c>
      <c r="C640" s="38">
        <v>164092.5</v>
      </c>
      <c r="D640" s="38">
        <v>523515.83999999997</v>
      </c>
      <c r="E640" s="38">
        <v>19324.8</v>
      </c>
      <c r="F640" s="38">
        <v>1238760</v>
      </c>
      <c r="G640" s="38">
        <v>1954030.74</v>
      </c>
      <c r="H640" s="38">
        <v>1954030.74</v>
      </c>
    </row>
    <row r="641" spans="1:8" x14ac:dyDescent="0.2">
      <c r="A641" s="42" t="s">
        <v>411</v>
      </c>
      <c r="B641" s="38">
        <v>10944</v>
      </c>
      <c r="C641" s="38">
        <v>202950</v>
      </c>
      <c r="D641" s="38">
        <v>622848.04</v>
      </c>
      <c r="E641" s="38">
        <v>33633.599999999999</v>
      </c>
      <c r="F641" s="38">
        <v>656370</v>
      </c>
      <c r="G641" s="38">
        <v>1526745.6400000001</v>
      </c>
      <c r="H641" s="38">
        <v>1526745.6400000001</v>
      </c>
    </row>
    <row r="642" spans="1:8" x14ac:dyDescent="0.2">
      <c r="A642" s="42" t="s">
        <v>432</v>
      </c>
      <c r="B642" s="38">
        <v>20794.8</v>
      </c>
      <c r="C642" s="38">
        <v>259037.5</v>
      </c>
      <c r="D642" s="38">
        <v>131477.78</v>
      </c>
      <c r="E642" s="38">
        <v>28297.5</v>
      </c>
      <c r="F642" s="38">
        <v>223008</v>
      </c>
      <c r="G642" s="38">
        <v>662615.57999999996</v>
      </c>
      <c r="H642" s="38">
        <v>662615.57999999996</v>
      </c>
    </row>
    <row r="643" spans="1:8" x14ac:dyDescent="0.2">
      <c r="A643" s="37" t="s">
        <v>412</v>
      </c>
      <c r="B643" s="38">
        <v>302828.45999999996</v>
      </c>
      <c r="C643" s="38">
        <v>3683687.5</v>
      </c>
      <c r="D643" s="38">
        <v>6979141.8600000003</v>
      </c>
      <c r="E643" s="38">
        <v>343242.52999999997</v>
      </c>
      <c r="F643" s="38">
        <v>8596515</v>
      </c>
      <c r="G643" s="38">
        <v>19905415.350000001</v>
      </c>
      <c r="H643" s="38">
        <v>19905415.350000001</v>
      </c>
    </row>
    <row r="644" spans="1:8" x14ac:dyDescent="0.2">
      <c r="A644" s="42" t="s">
        <v>413</v>
      </c>
      <c r="B644" s="38">
        <v>21359.52</v>
      </c>
      <c r="C644" s="38">
        <v>65137.5</v>
      </c>
      <c r="D644" s="38">
        <v>328940.71999999997</v>
      </c>
      <c r="E644" s="38">
        <v>7908.75</v>
      </c>
      <c r="F644" s="38">
        <v>922680</v>
      </c>
      <c r="G644" s="38">
        <v>1346026.49</v>
      </c>
      <c r="H644" s="38">
        <v>1346026.49</v>
      </c>
    </row>
    <row r="645" spans="1:8" x14ac:dyDescent="0.2">
      <c r="A645" s="42" t="s">
        <v>414</v>
      </c>
      <c r="B645" s="38">
        <v>22073.040000000001</v>
      </c>
      <c r="C645" s="38">
        <v>323712.5</v>
      </c>
      <c r="D645" s="38">
        <v>137018.22</v>
      </c>
      <c r="E645" s="38">
        <v>22482.9</v>
      </c>
      <c r="F645" s="38">
        <v>827604</v>
      </c>
      <c r="G645" s="38">
        <v>1332890.6600000001</v>
      </c>
      <c r="H645" s="38">
        <v>1332890.6600000001</v>
      </c>
    </row>
    <row r="646" spans="1:8" x14ac:dyDescent="0.2">
      <c r="A646" s="42" t="s">
        <v>433</v>
      </c>
      <c r="B646" s="38">
        <v>16876.8</v>
      </c>
      <c r="C646" s="38">
        <v>355300</v>
      </c>
      <c r="D646" s="38">
        <v>600751.27</v>
      </c>
      <c r="E646" s="38">
        <v>8936.4</v>
      </c>
      <c r="F646" s="38">
        <v>808110</v>
      </c>
      <c r="G646" s="38">
        <v>1789974.4700000002</v>
      </c>
      <c r="H646" s="38">
        <v>1789974.4700000002</v>
      </c>
    </row>
    <row r="647" spans="1:8" x14ac:dyDescent="0.2">
      <c r="A647" s="42" t="s">
        <v>434</v>
      </c>
      <c r="B647" s="38">
        <v>23436</v>
      </c>
      <c r="C647" s="38">
        <v>387618.75</v>
      </c>
      <c r="D647" s="38">
        <v>472008.98</v>
      </c>
      <c r="E647" s="38">
        <v>50163.75</v>
      </c>
      <c r="F647" s="38">
        <v>683397</v>
      </c>
      <c r="G647" s="38">
        <v>1616624.48</v>
      </c>
      <c r="H647" s="38">
        <v>1616624.48</v>
      </c>
    </row>
    <row r="648" spans="1:8" x14ac:dyDescent="0.2">
      <c r="A648" s="42" t="s">
        <v>415</v>
      </c>
      <c r="B648" s="38">
        <v>18421.2</v>
      </c>
      <c r="C648" s="38">
        <v>305730</v>
      </c>
      <c r="D648" s="38">
        <v>774049.15</v>
      </c>
      <c r="E648" s="38">
        <v>10665</v>
      </c>
      <c r="F648" s="38">
        <v>840384</v>
      </c>
      <c r="G648" s="38">
        <v>1949249.35</v>
      </c>
      <c r="H648" s="38">
        <v>1949249.35</v>
      </c>
    </row>
    <row r="649" spans="1:8" x14ac:dyDescent="0.2">
      <c r="A649" s="42" t="s">
        <v>416</v>
      </c>
      <c r="B649" s="38">
        <v>26859.84</v>
      </c>
      <c r="C649" s="38">
        <v>179932.5</v>
      </c>
      <c r="D649" s="38">
        <v>484949.76000000001</v>
      </c>
      <c r="E649" s="38">
        <v>66998.7</v>
      </c>
      <c r="F649" s="38">
        <v>564870</v>
      </c>
      <c r="G649" s="38">
        <v>1323610.7999999998</v>
      </c>
      <c r="H649" s="38">
        <v>1323610.7999999998</v>
      </c>
    </row>
    <row r="650" spans="1:8" x14ac:dyDescent="0.2">
      <c r="A650" s="42" t="s">
        <v>417</v>
      </c>
      <c r="B650" s="38">
        <v>15940.98</v>
      </c>
      <c r="C650" s="38">
        <v>430706.25</v>
      </c>
      <c r="D650" s="38">
        <v>1184757.57</v>
      </c>
      <c r="E650" s="38">
        <v>42713.33</v>
      </c>
      <c r="F650" s="38">
        <v>634680</v>
      </c>
      <c r="G650" s="38">
        <v>2308798.13</v>
      </c>
      <c r="H650" s="38">
        <v>2308798.13</v>
      </c>
    </row>
    <row r="651" spans="1:8" x14ac:dyDescent="0.2">
      <c r="A651" s="42" t="s">
        <v>435</v>
      </c>
      <c r="B651" s="38">
        <v>25692</v>
      </c>
      <c r="C651" s="38">
        <v>352625</v>
      </c>
      <c r="D651" s="38">
        <v>942379.32</v>
      </c>
      <c r="E651" s="38">
        <v>30991.8</v>
      </c>
      <c r="F651" s="38">
        <v>655578</v>
      </c>
      <c r="G651" s="38">
        <v>2007266.1199999999</v>
      </c>
      <c r="H651" s="38">
        <v>2007266.1199999999</v>
      </c>
    </row>
    <row r="652" spans="1:8" x14ac:dyDescent="0.2">
      <c r="A652" s="42" t="s">
        <v>409</v>
      </c>
      <c r="B652" s="38">
        <v>22663.08</v>
      </c>
      <c r="C652" s="38">
        <v>179550</v>
      </c>
      <c r="D652" s="38">
        <v>694555.1</v>
      </c>
      <c r="E652" s="38">
        <v>22794.3</v>
      </c>
      <c r="F652" s="38">
        <v>509691</v>
      </c>
      <c r="G652" s="38">
        <v>1429253.48</v>
      </c>
      <c r="H652" s="38">
        <v>1429253.48</v>
      </c>
    </row>
    <row r="653" spans="1:8" x14ac:dyDescent="0.2">
      <c r="A653" s="42" t="s">
        <v>410</v>
      </c>
      <c r="B653" s="38">
        <v>60144.959999999999</v>
      </c>
      <c r="C653" s="38">
        <v>204487.5</v>
      </c>
      <c r="D653" s="38">
        <v>684765.2</v>
      </c>
      <c r="E653" s="38">
        <v>32514.6</v>
      </c>
      <c r="F653" s="38">
        <v>521160</v>
      </c>
      <c r="G653" s="38">
        <v>1503072.2599999998</v>
      </c>
      <c r="H653" s="38">
        <v>1503072.2599999998</v>
      </c>
    </row>
    <row r="654" spans="1:8" x14ac:dyDescent="0.2">
      <c r="A654" s="42" t="s">
        <v>411</v>
      </c>
      <c r="B654" s="38">
        <v>30715.439999999999</v>
      </c>
      <c r="C654" s="38">
        <v>262570</v>
      </c>
      <c r="D654" s="38">
        <v>382063.56999999995</v>
      </c>
      <c r="E654" s="38">
        <v>28623</v>
      </c>
      <c r="F654" s="38">
        <v>862785</v>
      </c>
      <c r="G654" s="38">
        <v>1566757.01</v>
      </c>
      <c r="H654" s="38">
        <v>1566757.01</v>
      </c>
    </row>
    <row r="655" spans="1:8" x14ac:dyDescent="0.2">
      <c r="A655" s="42" t="s">
        <v>432</v>
      </c>
      <c r="B655" s="38">
        <v>18645.599999999999</v>
      </c>
      <c r="C655" s="38">
        <v>636317.5</v>
      </c>
      <c r="D655" s="38">
        <v>292903</v>
      </c>
      <c r="E655" s="38">
        <v>18450</v>
      </c>
      <c r="F655" s="38">
        <v>765576</v>
      </c>
      <c r="G655" s="38">
        <v>1731892.1</v>
      </c>
      <c r="H655" s="38">
        <v>1731892.1</v>
      </c>
    </row>
    <row r="656" spans="1:8" x14ac:dyDescent="0.2">
      <c r="A656" s="37" t="s">
        <v>405</v>
      </c>
      <c r="B656" s="38">
        <v>366534.18000000005</v>
      </c>
      <c r="C656" s="38">
        <v>4350605</v>
      </c>
      <c r="D656" s="38">
        <v>8390746.120000001</v>
      </c>
      <c r="E656" s="38">
        <v>465385.87999999995</v>
      </c>
      <c r="F656" s="38">
        <v>11456559</v>
      </c>
      <c r="G656" s="38">
        <v>25029830.180000003</v>
      </c>
      <c r="H656" s="38">
        <v>25029830.180000003</v>
      </c>
    </row>
    <row r="661" spans="1:54" x14ac:dyDescent="0.2">
      <c r="A661" s="36" t="s">
        <v>403</v>
      </c>
      <c r="B661" s="36" t="s">
        <v>429</v>
      </c>
      <c r="C661" s="36"/>
      <c r="D661" s="36"/>
      <c r="E661" s="36"/>
      <c r="F661" s="36"/>
      <c r="G661" s="36"/>
      <c r="H661" s="36"/>
    </row>
    <row r="662" spans="1:54" x14ac:dyDescent="0.2">
      <c r="A662" s="36"/>
      <c r="B662" s="36" t="s">
        <v>341</v>
      </c>
      <c r="C662" s="36"/>
      <c r="D662" s="36"/>
      <c r="E662" s="36"/>
      <c r="F662" s="36"/>
      <c r="G662" s="36" t="s">
        <v>1579</v>
      </c>
      <c r="H662" s="36" t="s">
        <v>405</v>
      </c>
    </row>
    <row r="663" spans="1:54" x14ac:dyDescent="0.2">
      <c r="A663" s="36" t="s">
        <v>404</v>
      </c>
      <c r="B663" s="36" t="s">
        <v>392</v>
      </c>
      <c r="C663" s="36" t="s">
        <v>393</v>
      </c>
      <c r="D663" s="36" t="s">
        <v>388</v>
      </c>
      <c r="E663" s="36" t="s">
        <v>390</v>
      </c>
      <c r="F663" s="36" t="s">
        <v>394</v>
      </c>
      <c r="G663" s="36"/>
      <c r="H663" s="36"/>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c r="BA663" s="17"/>
      <c r="BB663" s="17"/>
    </row>
    <row r="664" spans="1:54" x14ac:dyDescent="0.2">
      <c r="A664" s="37" t="s">
        <v>408</v>
      </c>
      <c r="B664" s="38">
        <v>114521.76000000001</v>
      </c>
      <c r="C664" s="38">
        <v>881422.5</v>
      </c>
      <c r="D664" s="38">
        <v>2478426.12</v>
      </c>
      <c r="E664" s="38">
        <v>129938.4</v>
      </c>
      <c r="F664" s="38">
        <v>1571580</v>
      </c>
      <c r="G664" s="38">
        <v>5175888.7799999993</v>
      </c>
      <c r="H664" s="38">
        <v>5175888.7799999993</v>
      </c>
    </row>
    <row r="665" spans="1:54" x14ac:dyDescent="0.2">
      <c r="A665" s="42" t="s">
        <v>409</v>
      </c>
      <c r="B665" s="38">
        <v>29156.16</v>
      </c>
      <c r="C665" s="38">
        <v>265760</v>
      </c>
      <c r="D665" s="38">
        <v>258308.05</v>
      </c>
      <c r="E665" s="38">
        <v>31863</v>
      </c>
      <c r="F665" s="38">
        <v>354108</v>
      </c>
      <c r="G665" s="38">
        <v>939195.21</v>
      </c>
      <c r="H665" s="38">
        <v>939195.21</v>
      </c>
    </row>
    <row r="666" spans="1:54" x14ac:dyDescent="0.2">
      <c r="A666" s="42" t="s">
        <v>410</v>
      </c>
      <c r="B666" s="38">
        <v>51865.440000000002</v>
      </c>
      <c r="C666" s="38">
        <v>86250</v>
      </c>
      <c r="D666" s="38">
        <v>907719.44</v>
      </c>
      <c r="E666" s="38">
        <v>44969.4</v>
      </c>
      <c r="F666" s="38">
        <v>138804</v>
      </c>
      <c r="G666" s="38">
        <v>1229608.2799999998</v>
      </c>
      <c r="H666" s="38">
        <v>1229608.2799999998</v>
      </c>
    </row>
    <row r="667" spans="1:54" x14ac:dyDescent="0.2">
      <c r="A667" s="42" t="s">
        <v>411</v>
      </c>
      <c r="B667" s="38">
        <v>22931.040000000001</v>
      </c>
      <c r="C667" s="38">
        <v>313862.5</v>
      </c>
      <c r="D667" s="38">
        <v>670490.56000000006</v>
      </c>
      <c r="E667" s="38">
        <v>20826</v>
      </c>
      <c r="F667" s="38">
        <v>391716</v>
      </c>
      <c r="G667" s="38">
        <v>1419826.1</v>
      </c>
      <c r="H667" s="38">
        <v>1419826.1</v>
      </c>
    </row>
    <row r="668" spans="1:54" x14ac:dyDescent="0.2">
      <c r="A668" s="42" t="s">
        <v>432</v>
      </c>
      <c r="B668" s="38">
        <v>10569.12</v>
      </c>
      <c r="C668" s="38">
        <v>215550</v>
      </c>
      <c r="D668" s="38">
        <v>641908.06999999995</v>
      </c>
      <c r="E668" s="38">
        <v>32280</v>
      </c>
      <c r="F668" s="38">
        <v>686952</v>
      </c>
      <c r="G668" s="38">
        <v>1587259.19</v>
      </c>
      <c r="H668" s="38">
        <v>1587259.19</v>
      </c>
    </row>
    <row r="669" spans="1:54" x14ac:dyDescent="0.2">
      <c r="A669" s="37" t="s">
        <v>412</v>
      </c>
      <c r="B669" s="38">
        <v>376642.38</v>
      </c>
      <c r="C669" s="38">
        <v>3086068.75</v>
      </c>
      <c r="D669" s="38">
        <v>8262810.3999999985</v>
      </c>
      <c r="E669" s="38">
        <v>380275.58</v>
      </c>
      <c r="F669" s="38">
        <v>7605969</v>
      </c>
      <c r="G669" s="38">
        <v>19711766.109999999</v>
      </c>
      <c r="H669" s="38">
        <v>19711766.109999999</v>
      </c>
    </row>
    <row r="670" spans="1:54" x14ac:dyDescent="0.2">
      <c r="A670" s="42" t="s">
        <v>413</v>
      </c>
      <c r="B670" s="38">
        <v>36208.620000000003</v>
      </c>
      <c r="C670" s="38">
        <v>180416.25</v>
      </c>
      <c r="D670" s="38">
        <v>731414.22</v>
      </c>
      <c r="E670" s="38">
        <v>5126.3999999999996</v>
      </c>
      <c r="F670" s="38">
        <v>233091</v>
      </c>
      <c r="G670" s="38">
        <v>1186256.49</v>
      </c>
      <c r="H670" s="38">
        <v>1186256.49</v>
      </c>
    </row>
    <row r="671" spans="1:54" x14ac:dyDescent="0.2">
      <c r="A671" s="42" t="s">
        <v>414</v>
      </c>
      <c r="B671" s="38">
        <v>20687.16</v>
      </c>
      <c r="C671" s="38">
        <v>111860</v>
      </c>
      <c r="D671" s="38">
        <v>714582.72</v>
      </c>
      <c r="E671" s="38">
        <v>34736.1</v>
      </c>
      <c r="F671" s="38">
        <v>600300</v>
      </c>
      <c r="G671" s="38">
        <v>1482165.98</v>
      </c>
      <c r="H671" s="38">
        <v>1482165.98</v>
      </c>
    </row>
    <row r="672" spans="1:54" x14ac:dyDescent="0.2">
      <c r="A672" s="42" t="s">
        <v>433</v>
      </c>
      <c r="B672" s="38">
        <v>6601.92</v>
      </c>
      <c r="C672" s="38">
        <v>215097.5</v>
      </c>
      <c r="D672" s="38">
        <v>332004.27999999997</v>
      </c>
      <c r="E672" s="38">
        <v>28324.799999999999</v>
      </c>
      <c r="F672" s="38">
        <v>229104</v>
      </c>
      <c r="G672" s="38">
        <v>811132.5</v>
      </c>
      <c r="H672" s="38">
        <v>811132.5</v>
      </c>
    </row>
    <row r="673" spans="1:8" x14ac:dyDescent="0.2">
      <c r="A673" s="42" t="s">
        <v>434</v>
      </c>
      <c r="B673" s="38">
        <v>38021.4</v>
      </c>
      <c r="C673" s="38">
        <v>90956.25</v>
      </c>
      <c r="D673" s="38">
        <v>405924.3</v>
      </c>
      <c r="E673" s="38">
        <v>20578.5</v>
      </c>
      <c r="F673" s="38">
        <v>1038082.5</v>
      </c>
      <c r="G673" s="38">
        <v>1593562.95</v>
      </c>
      <c r="H673" s="38">
        <v>1593562.95</v>
      </c>
    </row>
    <row r="674" spans="1:8" x14ac:dyDescent="0.2">
      <c r="A674" s="42" t="s">
        <v>415</v>
      </c>
      <c r="B674" s="38">
        <v>22271.040000000001</v>
      </c>
      <c r="C674" s="38">
        <v>191231.25</v>
      </c>
      <c r="D674" s="38">
        <v>77976.479999999996</v>
      </c>
      <c r="E674" s="38">
        <v>17604.900000000001</v>
      </c>
      <c r="F674" s="38">
        <v>474858</v>
      </c>
      <c r="G674" s="38">
        <v>783941.67</v>
      </c>
      <c r="H674" s="38">
        <v>783941.67</v>
      </c>
    </row>
    <row r="675" spans="1:8" x14ac:dyDescent="0.2">
      <c r="A675" s="42" t="s">
        <v>416</v>
      </c>
      <c r="B675" s="38">
        <v>60432</v>
      </c>
      <c r="C675" s="38">
        <v>344302.5</v>
      </c>
      <c r="D675" s="38">
        <v>1643720.1</v>
      </c>
      <c r="E675" s="38">
        <v>80200.800000000003</v>
      </c>
      <c r="F675" s="38">
        <v>597324</v>
      </c>
      <c r="G675" s="38">
        <v>2725979.4</v>
      </c>
      <c r="H675" s="38">
        <v>2725979.4</v>
      </c>
    </row>
    <row r="676" spans="1:8" x14ac:dyDescent="0.2">
      <c r="A676" s="42" t="s">
        <v>417</v>
      </c>
      <c r="B676" s="38">
        <v>42997.68</v>
      </c>
      <c r="C676" s="38">
        <v>333187.5</v>
      </c>
      <c r="D676" s="38">
        <v>675482.28</v>
      </c>
      <c r="E676" s="38">
        <v>22256.33</v>
      </c>
      <c r="F676" s="38">
        <v>1035625.5</v>
      </c>
      <c r="G676" s="38">
        <v>2109549.29</v>
      </c>
      <c r="H676" s="38">
        <v>2109549.29</v>
      </c>
    </row>
    <row r="677" spans="1:8" x14ac:dyDescent="0.2">
      <c r="A677" s="42" t="s">
        <v>435</v>
      </c>
      <c r="B677" s="38">
        <v>21025.439999999999</v>
      </c>
      <c r="C677" s="38">
        <v>114221.25</v>
      </c>
      <c r="D677" s="38">
        <v>238835.1</v>
      </c>
      <c r="E677" s="38">
        <v>32627.25</v>
      </c>
      <c r="F677" s="38">
        <v>545334</v>
      </c>
      <c r="G677" s="38">
        <v>952043.04</v>
      </c>
      <c r="H677" s="38">
        <v>952043.04</v>
      </c>
    </row>
    <row r="678" spans="1:8" x14ac:dyDescent="0.2">
      <c r="A678" s="42" t="s">
        <v>409</v>
      </c>
      <c r="B678" s="38">
        <v>17166.599999999999</v>
      </c>
      <c r="C678" s="38">
        <v>64496.25</v>
      </c>
      <c r="D678" s="38">
        <v>264861.56</v>
      </c>
      <c r="E678" s="38">
        <v>3139.2</v>
      </c>
      <c r="F678" s="38">
        <v>588984</v>
      </c>
      <c r="G678" s="38">
        <v>938647.6100000001</v>
      </c>
      <c r="H678" s="38">
        <v>938647.6100000001</v>
      </c>
    </row>
    <row r="679" spans="1:8" x14ac:dyDescent="0.2">
      <c r="A679" s="42" t="s">
        <v>410</v>
      </c>
      <c r="B679" s="38">
        <v>30458.400000000001</v>
      </c>
      <c r="C679" s="38">
        <v>487182.5</v>
      </c>
      <c r="D679" s="38">
        <v>885501.08000000007</v>
      </c>
      <c r="E679" s="38">
        <v>40846.5</v>
      </c>
      <c r="F679" s="38">
        <v>771936</v>
      </c>
      <c r="G679" s="38">
        <v>2215924.48</v>
      </c>
      <c r="H679" s="38">
        <v>2215924.48</v>
      </c>
    </row>
    <row r="680" spans="1:8" x14ac:dyDescent="0.2">
      <c r="A680" s="42" t="s">
        <v>411</v>
      </c>
      <c r="B680" s="38">
        <v>25345.32</v>
      </c>
      <c r="C680" s="38">
        <v>284512.5</v>
      </c>
      <c r="D680" s="38">
        <v>242758.63999999998</v>
      </c>
      <c r="E680" s="38">
        <v>35494.800000000003</v>
      </c>
      <c r="F680" s="38">
        <v>364722</v>
      </c>
      <c r="G680" s="38">
        <v>952833.26</v>
      </c>
      <c r="H680" s="38">
        <v>952833.26</v>
      </c>
    </row>
    <row r="681" spans="1:8" x14ac:dyDescent="0.2">
      <c r="A681" s="42" t="s">
        <v>432</v>
      </c>
      <c r="B681" s="38">
        <v>55426.8</v>
      </c>
      <c r="C681" s="38">
        <v>668605</v>
      </c>
      <c r="D681" s="38">
        <v>2049749.6400000001</v>
      </c>
      <c r="E681" s="38">
        <v>59340</v>
      </c>
      <c r="F681" s="38">
        <v>1126608</v>
      </c>
      <c r="G681" s="38">
        <v>3959729.4400000004</v>
      </c>
      <c r="H681" s="38">
        <v>3959729.4400000004</v>
      </c>
    </row>
    <row r="682" spans="1:8" x14ac:dyDescent="0.2">
      <c r="A682" s="37" t="s">
        <v>405</v>
      </c>
      <c r="B682" s="38">
        <v>491164.14</v>
      </c>
      <c r="C682" s="38">
        <v>3967491.25</v>
      </c>
      <c r="D682" s="38">
        <v>10741236.520000001</v>
      </c>
      <c r="E682" s="38">
        <v>510213.98</v>
      </c>
      <c r="F682" s="38">
        <v>9177549</v>
      </c>
      <c r="G682" s="38">
        <v>24887654.890000001</v>
      </c>
      <c r="H682" s="38">
        <v>24887654.890000001</v>
      </c>
    </row>
    <row r="688" spans="1:8" x14ac:dyDescent="0.2">
      <c r="A688" s="36" t="s">
        <v>403</v>
      </c>
      <c r="B688" s="36" t="s">
        <v>429</v>
      </c>
      <c r="C688" s="36"/>
      <c r="D688" s="36"/>
      <c r="E688" s="36"/>
      <c r="F688" s="36"/>
      <c r="G688" s="36"/>
      <c r="H688" s="36"/>
    </row>
    <row r="689" spans="1:8" x14ac:dyDescent="0.2">
      <c r="A689" s="36"/>
      <c r="B689" s="36" t="s">
        <v>304</v>
      </c>
      <c r="C689" s="36"/>
      <c r="D689" s="36"/>
      <c r="E689" s="36"/>
      <c r="F689" s="36"/>
      <c r="G689" s="36" t="s">
        <v>1580</v>
      </c>
      <c r="H689" s="36" t="s">
        <v>405</v>
      </c>
    </row>
    <row r="690" spans="1:8" x14ac:dyDescent="0.2">
      <c r="A690" s="36" t="s">
        <v>404</v>
      </c>
      <c r="B690" s="36" t="s">
        <v>392</v>
      </c>
      <c r="C690" s="36" t="s">
        <v>393</v>
      </c>
      <c r="D690" s="36" t="s">
        <v>388</v>
      </c>
      <c r="E690" s="36" t="s">
        <v>390</v>
      </c>
      <c r="F690" s="36" t="s">
        <v>394</v>
      </c>
      <c r="G690" s="36"/>
      <c r="H690" s="36"/>
    </row>
    <row r="691" spans="1:8" x14ac:dyDescent="0.2">
      <c r="A691" s="37" t="s">
        <v>408</v>
      </c>
      <c r="B691" s="38">
        <v>74317.680000000008</v>
      </c>
      <c r="C691" s="38">
        <v>655131.25</v>
      </c>
      <c r="D691" s="38">
        <v>3103086.9899999998</v>
      </c>
      <c r="E691" s="38">
        <v>104069.25</v>
      </c>
      <c r="F691" s="38">
        <v>1196190</v>
      </c>
      <c r="G691" s="38">
        <v>5132795.17</v>
      </c>
      <c r="H691" s="38">
        <v>5132795.17</v>
      </c>
    </row>
    <row r="692" spans="1:8" x14ac:dyDescent="0.2">
      <c r="A692" s="42" t="s">
        <v>409</v>
      </c>
      <c r="B692" s="38">
        <v>24395.279999999999</v>
      </c>
      <c r="C692" s="38">
        <v>109972.5</v>
      </c>
      <c r="D692" s="38">
        <v>591090.81000000006</v>
      </c>
      <c r="E692" s="38">
        <v>8235</v>
      </c>
      <c r="F692" s="38">
        <v>87906</v>
      </c>
      <c r="G692" s="38">
        <v>821599.59000000008</v>
      </c>
      <c r="H692" s="38">
        <v>821599.59000000008</v>
      </c>
    </row>
    <row r="693" spans="1:8" x14ac:dyDescent="0.2">
      <c r="A693" s="42" t="s">
        <v>410</v>
      </c>
      <c r="B693" s="38">
        <v>25589.279999999999</v>
      </c>
      <c r="C693" s="38">
        <v>167200</v>
      </c>
      <c r="D693" s="38">
        <v>1450534.68</v>
      </c>
      <c r="E693" s="38">
        <v>58509</v>
      </c>
      <c r="F693" s="38">
        <v>688644</v>
      </c>
      <c r="G693" s="38">
        <v>2390476.96</v>
      </c>
      <c r="H693" s="38">
        <v>2390476.96</v>
      </c>
    </row>
    <row r="694" spans="1:8" x14ac:dyDescent="0.2">
      <c r="A694" s="42" t="s">
        <v>411</v>
      </c>
      <c r="B694" s="38">
        <v>20991.599999999999</v>
      </c>
      <c r="C694" s="38">
        <v>211233.75</v>
      </c>
      <c r="D694" s="38">
        <v>642049.1</v>
      </c>
      <c r="E694" s="38">
        <v>4766.8500000000004</v>
      </c>
      <c r="F694" s="38">
        <v>106536</v>
      </c>
      <c r="G694" s="38">
        <v>985577.29999999993</v>
      </c>
      <c r="H694" s="38">
        <v>985577.29999999993</v>
      </c>
    </row>
    <row r="695" spans="1:8" x14ac:dyDescent="0.2">
      <c r="A695" s="42" t="s">
        <v>432</v>
      </c>
      <c r="B695" s="38">
        <v>3341.52</v>
      </c>
      <c r="C695" s="38">
        <v>166725</v>
      </c>
      <c r="D695" s="38">
        <v>419412.4</v>
      </c>
      <c r="E695" s="38">
        <v>32558.400000000001</v>
      </c>
      <c r="F695" s="38">
        <v>313104</v>
      </c>
      <c r="G695" s="38">
        <v>935141.32000000007</v>
      </c>
      <c r="H695" s="38">
        <v>935141.32000000007</v>
      </c>
    </row>
    <row r="696" spans="1:8" x14ac:dyDescent="0.2">
      <c r="A696" s="37" t="s">
        <v>412</v>
      </c>
      <c r="B696" s="38">
        <v>297772.67999999993</v>
      </c>
      <c r="C696" s="38">
        <v>3235759.38</v>
      </c>
      <c r="D696" s="38">
        <v>9024695.7300000004</v>
      </c>
      <c r="E696" s="38">
        <v>489732.83</v>
      </c>
      <c r="F696" s="38">
        <v>6173416.5</v>
      </c>
      <c r="G696" s="38">
        <v>19221377.120000001</v>
      </c>
      <c r="H696" s="38">
        <v>19221377.120000001</v>
      </c>
    </row>
    <row r="697" spans="1:8" x14ac:dyDescent="0.2">
      <c r="A697" s="42" t="s">
        <v>413</v>
      </c>
      <c r="B697" s="38">
        <v>18519.12</v>
      </c>
      <c r="C697" s="38">
        <v>233531.25</v>
      </c>
      <c r="D697" s="38">
        <v>532063.5</v>
      </c>
      <c r="E697" s="38">
        <v>52167.38</v>
      </c>
      <c r="F697" s="38">
        <v>708439.5</v>
      </c>
      <c r="G697" s="38">
        <v>1544720.75</v>
      </c>
      <c r="H697" s="38">
        <v>1544720.75</v>
      </c>
    </row>
    <row r="698" spans="1:8" x14ac:dyDescent="0.2">
      <c r="A698" s="42" t="s">
        <v>414</v>
      </c>
      <c r="B698" s="38">
        <v>21261</v>
      </c>
      <c r="C698" s="38">
        <v>225500</v>
      </c>
      <c r="D698" s="38">
        <v>989020.86</v>
      </c>
      <c r="E698" s="38">
        <v>34095.599999999999</v>
      </c>
      <c r="F698" s="38">
        <v>267561</v>
      </c>
      <c r="G698" s="38">
        <v>1537438.46</v>
      </c>
      <c r="H698" s="38">
        <v>1537438.46</v>
      </c>
    </row>
    <row r="699" spans="1:8" x14ac:dyDescent="0.2">
      <c r="A699" s="42" t="s">
        <v>433</v>
      </c>
      <c r="B699" s="38">
        <v>21479.64</v>
      </c>
      <c r="C699" s="38">
        <v>283218.75</v>
      </c>
      <c r="D699" s="38">
        <v>589411.56000000006</v>
      </c>
      <c r="E699" s="38">
        <v>34513.800000000003</v>
      </c>
      <c r="F699" s="38">
        <v>631125</v>
      </c>
      <c r="G699" s="38">
        <v>1559748.75</v>
      </c>
      <c r="H699" s="38">
        <v>1559748.75</v>
      </c>
    </row>
    <row r="700" spans="1:8" x14ac:dyDescent="0.2">
      <c r="A700" s="42" t="s">
        <v>434</v>
      </c>
      <c r="B700" s="38">
        <v>19401.66</v>
      </c>
      <c r="C700" s="38">
        <v>514524.38</v>
      </c>
      <c r="D700" s="38">
        <v>277270.56</v>
      </c>
      <c r="E700" s="38">
        <v>53594.1</v>
      </c>
      <c r="F700" s="38">
        <v>468072</v>
      </c>
      <c r="G700" s="38">
        <v>1332862.7000000002</v>
      </c>
      <c r="H700" s="38">
        <v>1332862.7000000002</v>
      </c>
    </row>
    <row r="701" spans="1:8" x14ac:dyDescent="0.2">
      <c r="A701" s="42" t="s">
        <v>415</v>
      </c>
      <c r="B701" s="38">
        <v>9976.32</v>
      </c>
      <c r="C701" s="38">
        <v>159421.25</v>
      </c>
      <c r="D701" s="38">
        <v>567455.9</v>
      </c>
      <c r="E701" s="38">
        <v>36031.5</v>
      </c>
      <c r="F701" s="38">
        <v>269892</v>
      </c>
      <c r="G701" s="38">
        <v>1042776.97</v>
      </c>
      <c r="H701" s="38">
        <v>1042776.97</v>
      </c>
    </row>
    <row r="702" spans="1:8" x14ac:dyDescent="0.2">
      <c r="A702" s="42" t="s">
        <v>416</v>
      </c>
      <c r="B702" s="38">
        <v>44255.28</v>
      </c>
      <c r="C702" s="38">
        <v>194782.5</v>
      </c>
      <c r="D702" s="38">
        <v>1074822.2</v>
      </c>
      <c r="E702" s="38">
        <v>65340</v>
      </c>
      <c r="F702" s="38">
        <v>249984</v>
      </c>
      <c r="G702" s="38">
        <v>1629183.98</v>
      </c>
      <c r="H702" s="38">
        <v>1629183.98</v>
      </c>
    </row>
    <row r="703" spans="1:8" x14ac:dyDescent="0.2">
      <c r="A703" s="42" t="s">
        <v>417</v>
      </c>
      <c r="B703" s="38">
        <v>25904.34</v>
      </c>
      <c r="C703" s="38">
        <v>358560</v>
      </c>
      <c r="D703" s="38">
        <v>249596.34</v>
      </c>
      <c r="E703" s="38">
        <v>51143.4</v>
      </c>
      <c r="F703" s="38">
        <v>462861</v>
      </c>
      <c r="G703" s="38">
        <v>1148065.08</v>
      </c>
      <c r="H703" s="38">
        <v>1148065.08</v>
      </c>
    </row>
    <row r="704" spans="1:8" x14ac:dyDescent="0.2">
      <c r="A704" s="42" t="s">
        <v>435</v>
      </c>
      <c r="B704" s="38">
        <v>25542</v>
      </c>
      <c r="C704" s="38">
        <v>124737.5</v>
      </c>
      <c r="D704" s="38">
        <v>169101.64</v>
      </c>
      <c r="E704" s="38">
        <v>29308.95</v>
      </c>
      <c r="F704" s="38">
        <v>431112</v>
      </c>
      <c r="G704" s="38">
        <v>779802.09000000008</v>
      </c>
      <c r="H704" s="38">
        <v>779802.09000000008</v>
      </c>
    </row>
    <row r="705" spans="1:8" x14ac:dyDescent="0.2">
      <c r="A705" s="42" t="s">
        <v>409</v>
      </c>
      <c r="B705" s="38">
        <v>31731.48</v>
      </c>
      <c r="C705" s="38">
        <v>70443.75</v>
      </c>
      <c r="D705" s="38">
        <v>968382.76</v>
      </c>
      <c r="E705" s="38">
        <v>37335</v>
      </c>
      <c r="F705" s="38">
        <v>645300</v>
      </c>
      <c r="G705" s="38">
        <v>1753192.99</v>
      </c>
      <c r="H705" s="38">
        <v>1753192.99</v>
      </c>
    </row>
    <row r="706" spans="1:8" x14ac:dyDescent="0.2">
      <c r="A706" s="42" t="s">
        <v>410</v>
      </c>
      <c r="B706" s="38">
        <v>28751.52</v>
      </c>
      <c r="C706" s="38">
        <v>543122.5</v>
      </c>
      <c r="D706" s="38">
        <v>1557292.44</v>
      </c>
      <c r="E706" s="38">
        <v>33497.1</v>
      </c>
      <c r="F706" s="38">
        <v>1216998</v>
      </c>
      <c r="G706" s="38">
        <v>3379661.56</v>
      </c>
      <c r="H706" s="38">
        <v>3379661.56</v>
      </c>
    </row>
    <row r="707" spans="1:8" x14ac:dyDescent="0.2">
      <c r="A707" s="42" t="s">
        <v>411</v>
      </c>
      <c r="B707" s="38">
        <v>26136.720000000001</v>
      </c>
      <c r="C707" s="38">
        <v>215820</v>
      </c>
      <c r="D707" s="38">
        <v>513823.87</v>
      </c>
      <c r="E707" s="38">
        <v>6762</v>
      </c>
      <c r="F707" s="38">
        <v>361452</v>
      </c>
      <c r="G707" s="38">
        <v>1123994.5899999999</v>
      </c>
      <c r="H707" s="38">
        <v>1123994.5899999999</v>
      </c>
    </row>
    <row r="708" spans="1:8" x14ac:dyDescent="0.2">
      <c r="A708" s="42" t="s">
        <v>432</v>
      </c>
      <c r="B708" s="38">
        <v>24813.599999999999</v>
      </c>
      <c r="C708" s="38">
        <v>312097.5</v>
      </c>
      <c r="D708" s="38">
        <v>1536454.1</v>
      </c>
      <c r="E708" s="38">
        <v>55944</v>
      </c>
      <c r="F708" s="38">
        <v>460620</v>
      </c>
      <c r="G708" s="38">
        <v>2389929.2000000002</v>
      </c>
      <c r="H708" s="38">
        <v>2389929.2000000002</v>
      </c>
    </row>
    <row r="709" spans="1:8" x14ac:dyDescent="0.2">
      <c r="A709" s="37" t="s">
        <v>405</v>
      </c>
      <c r="B709" s="38">
        <v>372090.36</v>
      </c>
      <c r="C709" s="38">
        <v>3890890.63</v>
      </c>
      <c r="D709" s="38">
        <v>12127782.719999999</v>
      </c>
      <c r="E709" s="38">
        <v>593802.08000000007</v>
      </c>
      <c r="F709" s="38">
        <v>7369606.5</v>
      </c>
      <c r="G709" s="38">
        <v>24354172.289999995</v>
      </c>
      <c r="H709" s="38">
        <v>24354172.289999995</v>
      </c>
    </row>
    <row r="716" spans="1:8" x14ac:dyDescent="0.2">
      <c r="A716" s="36" t="s">
        <v>403</v>
      </c>
      <c r="B716" s="36" t="s">
        <v>429</v>
      </c>
      <c r="C716" s="36"/>
      <c r="D716" s="36"/>
      <c r="E716" s="36"/>
      <c r="F716" s="36"/>
      <c r="G716" s="36"/>
      <c r="H716" s="36"/>
    </row>
    <row r="717" spans="1:8" x14ac:dyDescent="0.2">
      <c r="A717" s="36"/>
      <c r="B717" s="36" t="s">
        <v>305</v>
      </c>
      <c r="C717" s="36"/>
      <c r="D717" s="36"/>
      <c r="E717" s="36"/>
      <c r="F717" s="36"/>
      <c r="G717" s="36" t="s">
        <v>1581</v>
      </c>
      <c r="H717" s="36" t="s">
        <v>405</v>
      </c>
    </row>
    <row r="718" spans="1:8" x14ac:dyDescent="0.2">
      <c r="A718" s="36" t="s">
        <v>404</v>
      </c>
      <c r="B718" s="36" t="s">
        <v>392</v>
      </c>
      <c r="C718" s="36" t="s">
        <v>393</v>
      </c>
      <c r="D718" s="36" t="s">
        <v>388</v>
      </c>
      <c r="E718" s="36" t="s">
        <v>390</v>
      </c>
      <c r="F718" s="36" t="s">
        <v>394</v>
      </c>
      <c r="G718" s="36"/>
      <c r="H718" s="36"/>
    </row>
    <row r="719" spans="1:8" x14ac:dyDescent="0.2">
      <c r="A719" s="37" t="s">
        <v>408</v>
      </c>
      <c r="B719" s="38">
        <v>80781.36</v>
      </c>
      <c r="C719" s="38">
        <v>708605</v>
      </c>
      <c r="D719" s="38">
        <v>4145124.1100000003</v>
      </c>
      <c r="E719" s="38">
        <v>108606</v>
      </c>
      <c r="F719" s="38">
        <v>1184619</v>
      </c>
      <c r="G719" s="38">
        <v>6227735.4700000007</v>
      </c>
      <c r="H719" s="38">
        <v>6227735.4700000007</v>
      </c>
    </row>
    <row r="720" spans="1:8" x14ac:dyDescent="0.2">
      <c r="A720" s="42" t="s">
        <v>409</v>
      </c>
      <c r="B720" s="38">
        <v>24719.4</v>
      </c>
      <c r="C720" s="38">
        <v>115552.5</v>
      </c>
      <c r="D720" s="38">
        <v>633286.26</v>
      </c>
      <c r="E720" s="38">
        <v>8613</v>
      </c>
      <c r="F720" s="38">
        <v>313317</v>
      </c>
      <c r="G720" s="38">
        <v>1095488.1600000001</v>
      </c>
      <c r="H720" s="38">
        <v>1095488.1600000001</v>
      </c>
    </row>
    <row r="721" spans="1:8" x14ac:dyDescent="0.2">
      <c r="A721" s="42" t="s">
        <v>410</v>
      </c>
      <c r="B721" s="38">
        <v>18200.16</v>
      </c>
      <c r="C721" s="38">
        <v>198205</v>
      </c>
      <c r="D721" s="38">
        <v>2156605.9</v>
      </c>
      <c r="E721" s="38">
        <v>56599.5</v>
      </c>
      <c r="F721" s="38">
        <v>125832</v>
      </c>
      <c r="G721" s="38">
        <v>2555442.56</v>
      </c>
      <c r="H721" s="38">
        <v>2555442.56</v>
      </c>
    </row>
    <row r="722" spans="1:8" x14ac:dyDescent="0.2">
      <c r="A722" s="42" t="s">
        <v>411</v>
      </c>
      <c r="B722" s="38">
        <v>19383</v>
      </c>
      <c r="C722" s="38">
        <v>290625</v>
      </c>
      <c r="D722" s="38">
        <v>741411.4</v>
      </c>
      <c r="E722" s="38">
        <v>13240.5</v>
      </c>
      <c r="F722" s="38">
        <v>654288</v>
      </c>
      <c r="G722" s="38">
        <v>1718947.9</v>
      </c>
      <c r="H722" s="38">
        <v>1718947.9</v>
      </c>
    </row>
    <row r="723" spans="1:8" x14ac:dyDescent="0.2">
      <c r="A723" s="42" t="s">
        <v>432</v>
      </c>
      <c r="B723" s="38">
        <v>18478.8</v>
      </c>
      <c r="C723" s="38">
        <v>104222.5</v>
      </c>
      <c r="D723" s="38">
        <v>613820.55000000005</v>
      </c>
      <c r="E723" s="38">
        <v>30153</v>
      </c>
      <c r="F723" s="38">
        <v>91182</v>
      </c>
      <c r="G723" s="38">
        <v>857856.85000000009</v>
      </c>
      <c r="H723" s="38">
        <v>857856.85000000009</v>
      </c>
    </row>
    <row r="724" spans="1:8" x14ac:dyDescent="0.2">
      <c r="A724" s="37" t="s">
        <v>412</v>
      </c>
      <c r="B724" s="38">
        <v>255644.52000000002</v>
      </c>
      <c r="C724" s="38">
        <v>3378221.25</v>
      </c>
      <c r="D724" s="38">
        <v>7307771.8300000001</v>
      </c>
      <c r="E724" s="38">
        <v>192738.75000000003</v>
      </c>
      <c r="F724" s="38">
        <v>6143229</v>
      </c>
      <c r="G724" s="38">
        <v>17277605.350000001</v>
      </c>
      <c r="H724" s="38">
        <v>17277605.350000001</v>
      </c>
    </row>
    <row r="725" spans="1:8" x14ac:dyDescent="0.2">
      <c r="A725" s="42" t="s">
        <v>413</v>
      </c>
      <c r="B725" s="38">
        <v>28855.56</v>
      </c>
      <c r="C725" s="38">
        <v>352106.25</v>
      </c>
      <c r="D725" s="38">
        <v>274152.8</v>
      </c>
      <c r="E725" s="38">
        <v>9193.5</v>
      </c>
      <c r="F725" s="38">
        <v>210627</v>
      </c>
      <c r="G725" s="38">
        <v>874935.11</v>
      </c>
      <c r="H725" s="38">
        <v>874935.11</v>
      </c>
    </row>
    <row r="726" spans="1:8" x14ac:dyDescent="0.2">
      <c r="A726" s="42" t="s">
        <v>414</v>
      </c>
      <c r="B726" s="38">
        <v>12722.4</v>
      </c>
      <c r="C726" s="38">
        <v>95831.25</v>
      </c>
      <c r="D726" s="38">
        <v>509289.02</v>
      </c>
      <c r="E726" s="38">
        <v>3586.2</v>
      </c>
      <c r="F726" s="38">
        <v>725907</v>
      </c>
      <c r="G726" s="38">
        <v>1347335.87</v>
      </c>
      <c r="H726" s="38">
        <v>1347335.87</v>
      </c>
    </row>
    <row r="727" spans="1:8" x14ac:dyDescent="0.2">
      <c r="A727" s="42" t="s">
        <v>433</v>
      </c>
      <c r="B727" s="38">
        <v>25932</v>
      </c>
      <c r="C727" s="38">
        <v>95400</v>
      </c>
      <c r="D727" s="38">
        <v>268216.59000000003</v>
      </c>
      <c r="E727" s="38">
        <v>13815</v>
      </c>
      <c r="F727" s="38">
        <v>76146</v>
      </c>
      <c r="G727" s="38">
        <v>479509.59</v>
      </c>
      <c r="H727" s="38">
        <v>479509.59</v>
      </c>
    </row>
    <row r="728" spans="1:8" x14ac:dyDescent="0.2">
      <c r="A728" s="42" t="s">
        <v>434</v>
      </c>
      <c r="B728" s="38">
        <v>34056</v>
      </c>
      <c r="C728" s="38">
        <v>527437.5</v>
      </c>
      <c r="D728" s="38">
        <v>419058.96</v>
      </c>
      <c r="E728" s="38">
        <v>6885</v>
      </c>
      <c r="F728" s="38">
        <v>407376</v>
      </c>
      <c r="G728" s="38">
        <v>1394813.46</v>
      </c>
      <c r="H728" s="38">
        <v>1394813.46</v>
      </c>
    </row>
    <row r="729" spans="1:8" x14ac:dyDescent="0.2">
      <c r="A729" s="42" t="s">
        <v>415</v>
      </c>
      <c r="B729" s="38">
        <v>9609.6</v>
      </c>
      <c r="C729" s="38">
        <v>278810</v>
      </c>
      <c r="D729" s="38">
        <v>499458.4</v>
      </c>
      <c r="E729" s="38">
        <v>21573</v>
      </c>
      <c r="F729" s="38">
        <v>508032</v>
      </c>
      <c r="G729" s="38">
        <v>1317483</v>
      </c>
      <c r="H729" s="38">
        <v>1317483</v>
      </c>
    </row>
    <row r="730" spans="1:8" x14ac:dyDescent="0.2">
      <c r="A730" s="42" t="s">
        <v>416</v>
      </c>
      <c r="B730" s="38">
        <v>37080</v>
      </c>
      <c r="C730" s="38">
        <v>380725</v>
      </c>
      <c r="D730" s="38">
        <v>784582.24</v>
      </c>
      <c r="E730" s="38">
        <v>26640</v>
      </c>
      <c r="F730" s="38">
        <v>400998</v>
      </c>
      <c r="G730" s="38">
        <v>1630025.24</v>
      </c>
      <c r="H730" s="38">
        <v>1630025.24</v>
      </c>
    </row>
    <row r="731" spans="1:8" x14ac:dyDescent="0.2">
      <c r="A731" s="42" t="s">
        <v>417</v>
      </c>
      <c r="B731" s="38">
        <v>4404</v>
      </c>
      <c r="C731" s="38">
        <v>408386.25</v>
      </c>
      <c r="D731" s="38">
        <v>439949.5</v>
      </c>
      <c r="E731" s="38">
        <v>6273</v>
      </c>
      <c r="F731" s="38">
        <v>750537</v>
      </c>
      <c r="G731" s="38">
        <v>1609549.75</v>
      </c>
      <c r="H731" s="38">
        <v>1609549.75</v>
      </c>
    </row>
    <row r="732" spans="1:8" x14ac:dyDescent="0.2">
      <c r="A732" s="42" t="s">
        <v>435</v>
      </c>
      <c r="B732" s="38">
        <v>27799.200000000001</v>
      </c>
      <c r="C732" s="38">
        <v>293993.75</v>
      </c>
      <c r="D732" s="38">
        <v>164993.91999999998</v>
      </c>
      <c r="E732" s="38">
        <v>24576.3</v>
      </c>
      <c r="F732" s="38">
        <v>535392</v>
      </c>
      <c r="G732" s="38">
        <v>1046755.1699999999</v>
      </c>
      <c r="H732" s="38">
        <v>1046755.1699999999</v>
      </c>
    </row>
    <row r="733" spans="1:8" x14ac:dyDescent="0.2">
      <c r="A733" s="42" t="s">
        <v>409</v>
      </c>
      <c r="B733" s="38">
        <v>17253.599999999999</v>
      </c>
      <c r="C733" s="38">
        <v>242613.75</v>
      </c>
      <c r="D733" s="38">
        <v>691359.6</v>
      </c>
      <c r="E733" s="38">
        <v>11092.95</v>
      </c>
      <c r="F733" s="38">
        <v>292842</v>
      </c>
      <c r="G733" s="38">
        <v>1255161.8999999999</v>
      </c>
      <c r="H733" s="38">
        <v>1255161.8999999999</v>
      </c>
    </row>
    <row r="734" spans="1:8" x14ac:dyDescent="0.2">
      <c r="A734" s="42" t="s">
        <v>410</v>
      </c>
      <c r="B734" s="38">
        <v>10081.92</v>
      </c>
      <c r="C734" s="38">
        <v>230562.5</v>
      </c>
      <c r="D734" s="38">
        <v>1986884.4</v>
      </c>
      <c r="E734" s="38">
        <v>29962.5</v>
      </c>
      <c r="F734" s="38">
        <v>1164096</v>
      </c>
      <c r="G734" s="38">
        <v>3421587.32</v>
      </c>
      <c r="H734" s="38">
        <v>3421587.32</v>
      </c>
    </row>
    <row r="735" spans="1:8" x14ac:dyDescent="0.2">
      <c r="A735" s="42" t="s">
        <v>411</v>
      </c>
      <c r="B735" s="38">
        <v>26698.799999999999</v>
      </c>
      <c r="C735" s="38">
        <v>58650</v>
      </c>
      <c r="D735" s="38">
        <v>153464</v>
      </c>
      <c r="E735" s="38">
        <v>19517.7</v>
      </c>
      <c r="F735" s="38">
        <v>358776</v>
      </c>
      <c r="G735" s="38">
        <v>617106.5</v>
      </c>
      <c r="H735" s="38">
        <v>617106.5</v>
      </c>
    </row>
    <row r="736" spans="1:8" x14ac:dyDescent="0.2">
      <c r="A736" s="42" t="s">
        <v>432</v>
      </c>
      <c r="B736" s="38">
        <v>21151.439999999999</v>
      </c>
      <c r="C736" s="38">
        <v>413705</v>
      </c>
      <c r="D736" s="38">
        <v>1116362.3999999999</v>
      </c>
      <c r="E736" s="38">
        <v>19623.599999999999</v>
      </c>
      <c r="F736" s="38">
        <v>712500</v>
      </c>
      <c r="G736" s="38">
        <v>2283342.44</v>
      </c>
      <c r="H736" s="38">
        <v>2283342.44</v>
      </c>
    </row>
    <row r="737" spans="1:32" x14ac:dyDescent="0.2">
      <c r="A737" s="37" t="s">
        <v>405</v>
      </c>
      <c r="B737" s="38">
        <v>336425.88</v>
      </c>
      <c r="C737" s="38">
        <v>4086826.25</v>
      </c>
      <c r="D737" s="38">
        <v>11452895.939999999</v>
      </c>
      <c r="E737" s="38">
        <v>301344.75</v>
      </c>
      <c r="F737" s="38">
        <v>7327848</v>
      </c>
      <c r="G737" s="38">
        <v>23505340.82</v>
      </c>
      <c r="H737" s="38">
        <v>23505340.82</v>
      </c>
    </row>
    <row r="742" spans="1:32" x14ac:dyDescent="0.2">
      <c r="A742" s="36" t="s">
        <v>403</v>
      </c>
      <c r="B742" s="36" t="s">
        <v>429</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spans="1:32" x14ac:dyDescent="0.2">
      <c r="A743" s="36"/>
      <c r="B743" s="36" t="s">
        <v>341</v>
      </c>
      <c r="C743" s="36"/>
      <c r="D743" s="36"/>
      <c r="E743" s="36"/>
      <c r="F743" s="36"/>
      <c r="G743" s="36" t="s">
        <v>1579</v>
      </c>
      <c r="H743" s="36" t="s">
        <v>304</v>
      </c>
      <c r="I743" s="36"/>
      <c r="J743" s="36"/>
      <c r="K743" s="36"/>
      <c r="L743" s="36"/>
      <c r="M743" s="36" t="s">
        <v>1580</v>
      </c>
      <c r="N743" s="36" t="s">
        <v>305</v>
      </c>
      <c r="O743" s="36"/>
      <c r="P743" s="36"/>
      <c r="Q743" s="36"/>
      <c r="R743" s="36"/>
      <c r="S743" s="36" t="s">
        <v>1581</v>
      </c>
      <c r="T743" s="36" t="s">
        <v>352</v>
      </c>
      <c r="U743" s="36"/>
      <c r="V743" s="36"/>
      <c r="W743" s="36"/>
      <c r="X743" s="36"/>
      <c r="Y743" s="36" t="s">
        <v>1590</v>
      </c>
      <c r="Z743" s="36" t="s">
        <v>359</v>
      </c>
      <c r="AA743" s="36"/>
      <c r="AB743" s="36"/>
      <c r="AC743" s="36"/>
      <c r="AD743" s="36"/>
      <c r="AE743" s="36" t="s">
        <v>1578</v>
      </c>
      <c r="AF743" s="36" t="s">
        <v>405</v>
      </c>
    </row>
    <row r="744" spans="1:32" x14ac:dyDescent="0.2">
      <c r="A744" s="36" t="s">
        <v>404</v>
      </c>
      <c r="B744" s="36" t="s">
        <v>392</v>
      </c>
      <c r="C744" s="36" t="s">
        <v>393</v>
      </c>
      <c r="D744" s="36" t="s">
        <v>388</v>
      </c>
      <c r="E744" s="36" t="s">
        <v>390</v>
      </c>
      <c r="F744" s="36" t="s">
        <v>394</v>
      </c>
      <c r="G744" s="36"/>
      <c r="H744" s="36" t="s">
        <v>392</v>
      </c>
      <c r="I744" s="36" t="s">
        <v>393</v>
      </c>
      <c r="J744" s="36" t="s">
        <v>388</v>
      </c>
      <c r="K744" s="36" t="s">
        <v>390</v>
      </c>
      <c r="L744" s="36" t="s">
        <v>394</v>
      </c>
      <c r="M744" s="36"/>
      <c r="N744" s="36" t="s">
        <v>392</v>
      </c>
      <c r="O744" s="36" t="s">
        <v>393</v>
      </c>
      <c r="P744" s="36" t="s">
        <v>388</v>
      </c>
      <c r="Q744" s="36" t="s">
        <v>390</v>
      </c>
      <c r="R744" s="36" t="s">
        <v>394</v>
      </c>
      <c r="S744" s="36"/>
      <c r="T744" s="36" t="s">
        <v>392</v>
      </c>
      <c r="U744" s="36" t="s">
        <v>393</v>
      </c>
      <c r="V744" s="36" t="s">
        <v>388</v>
      </c>
      <c r="W744" s="36" t="s">
        <v>390</v>
      </c>
      <c r="X744" s="36" t="s">
        <v>394</v>
      </c>
      <c r="Y744" s="36"/>
      <c r="Z744" s="36" t="s">
        <v>392</v>
      </c>
      <c r="AA744" s="36" t="s">
        <v>393</v>
      </c>
      <c r="AB744" s="36" t="s">
        <v>388</v>
      </c>
      <c r="AC744" s="36" t="s">
        <v>390</v>
      </c>
      <c r="AD744" s="36" t="s">
        <v>394</v>
      </c>
      <c r="AE744" s="36"/>
      <c r="AF744" s="36"/>
    </row>
    <row r="745" spans="1:32" x14ac:dyDescent="0.2">
      <c r="A745" s="37" t="s">
        <v>408</v>
      </c>
      <c r="B745" s="38">
        <v>114521.76000000001</v>
      </c>
      <c r="C745" s="38">
        <v>881422.5</v>
      </c>
      <c r="D745" s="38">
        <v>2478426.12</v>
      </c>
      <c r="E745" s="38">
        <v>129938.4</v>
      </c>
      <c r="F745" s="38">
        <v>1571580</v>
      </c>
      <c r="G745" s="38">
        <v>5175888.7799999993</v>
      </c>
      <c r="H745" s="38">
        <v>74317.680000000008</v>
      </c>
      <c r="I745" s="38">
        <v>655131.25</v>
      </c>
      <c r="J745" s="38">
        <v>3103086.99</v>
      </c>
      <c r="K745" s="38">
        <v>104069.25</v>
      </c>
      <c r="L745" s="38">
        <v>1196190</v>
      </c>
      <c r="M745" s="38">
        <v>5132795.17</v>
      </c>
      <c r="N745" s="38">
        <v>80781.36</v>
      </c>
      <c r="O745" s="38">
        <v>708605</v>
      </c>
      <c r="P745" s="38">
        <v>4145124.1100000003</v>
      </c>
      <c r="Q745" s="38">
        <v>108606</v>
      </c>
      <c r="R745" s="38">
        <v>1184619</v>
      </c>
      <c r="S745" s="38">
        <v>6227735.4700000007</v>
      </c>
      <c r="T745" s="38">
        <v>64763.76</v>
      </c>
      <c r="U745" s="38">
        <v>1137486.25</v>
      </c>
      <c r="V745" s="38">
        <v>1947443.7999999998</v>
      </c>
      <c r="W745" s="38">
        <v>81486.45</v>
      </c>
      <c r="X745" s="38">
        <v>1523241</v>
      </c>
      <c r="Y745" s="38">
        <v>4754421.26</v>
      </c>
      <c r="Z745" s="38">
        <v>63705.72</v>
      </c>
      <c r="AA745" s="38">
        <v>666917.5</v>
      </c>
      <c r="AB745" s="38">
        <v>1411604.26</v>
      </c>
      <c r="AC745" s="38">
        <v>122143.35</v>
      </c>
      <c r="AD745" s="38">
        <v>2860044</v>
      </c>
      <c r="AE745" s="38">
        <v>5124414.83</v>
      </c>
      <c r="AF745" s="38">
        <v>26415255.509999998</v>
      </c>
    </row>
    <row r="746" spans="1:32" x14ac:dyDescent="0.2">
      <c r="A746" s="42" t="s">
        <v>409</v>
      </c>
      <c r="B746" s="38">
        <v>29156.16</v>
      </c>
      <c r="C746" s="38">
        <v>265760</v>
      </c>
      <c r="D746" s="38">
        <v>258308.05</v>
      </c>
      <c r="E746" s="38">
        <v>31863</v>
      </c>
      <c r="F746" s="38">
        <v>354108</v>
      </c>
      <c r="G746" s="38">
        <v>939195.21</v>
      </c>
      <c r="H746" s="38">
        <v>24395.279999999999</v>
      </c>
      <c r="I746" s="38">
        <v>109972.5</v>
      </c>
      <c r="J746" s="38">
        <v>591090.81000000006</v>
      </c>
      <c r="K746" s="38">
        <v>8235</v>
      </c>
      <c r="L746" s="38">
        <v>87906</v>
      </c>
      <c r="M746" s="38">
        <v>821599.59000000008</v>
      </c>
      <c r="N746" s="38">
        <v>24719.4</v>
      </c>
      <c r="O746" s="38">
        <v>115552.5</v>
      </c>
      <c r="P746" s="38">
        <v>633286.26</v>
      </c>
      <c r="Q746" s="38">
        <v>8613</v>
      </c>
      <c r="R746" s="38">
        <v>313317</v>
      </c>
      <c r="S746" s="38">
        <v>1095488.1600000001</v>
      </c>
      <c r="T746" s="38">
        <v>10733.4</v>
      </c>
      <c r="U746" s="38">
        <v>105353.75</v>
      </c>
      <c r="V746" s="38">
        <v>285462.8</v>
      </c>
      <c r="W746" s="38">
        <v>8744.25</v>
      </c>
      <c r="X746" s="38">
        <v>236400</v>
      </c>
      <c r="Y746" s="38">
        <v>646694.19999999995</v>
      </c>
      <c r="Z746" s="38">
        <v>23629.32</v>
      </c>
      <c r="AA746" s="38">
        <v>40837.5</v>
      </c>
      <c r="AB746" s="38">
        <v>133762.6</v>
      </c>
      <c r="AC746" s="38">
        <v>40887.449999999997</v>
      </c>
      <c r="AD746" s="38">
        <v>741906</v>
      </c>
      <c r="AE746" s="38">
        <v>981022.87</v>
      </c>
      <c r="AF746" s="38">
        <v>4484000.0299999993</v>
      </c>
    </row>
    <row r="747" spans="1:32" x14ac:dyDescent="0.2">
      <c r="A747" s="42" t="s">
        <v>410</v>
      </c>
      <c r="B747" s="38">
        <v>51865.440000000002</v>
      </c>
      <c r="C747" s="38">
        <v>86250</v>
      </c>
      <c r="D747" s="38">
        <v>907719.44</v>
      </c>
      <c r="E747" s="38">
        <v>44969.4</v>
      </c>
      <c r="F747" s="38">
        <v>138804</v>
      </c>
      <c r="G747" s="38">
        <v>1229608.2799999998</v>
      </c>
      <c r="H747" s="38">
        <v>25589.279999999999</v>
      </c>
      <c r="I747" s="38">
        <v>167200</v>
      </c>
      <c r="J747" s="38">
        <v>1450534.6800000002</v>
      </c>
      <c r="K747" s="38">
        <v>58509</v>
      </c>
      <c r="L747" s="38">
        <v>688644</v>
      </c>
      <c r="M747" s="38">
        <v>2390476.96</v>
      </c>
      <c r="N747" s="38">
        <v>18200.16</v>
      </c>
      <c r="O747" s="38">
        <v>198205</v>
      </c>
      <c r="P747" s="38">
        <v>2156605.9000000004</v>
      </c>
      <c r="Q747" s="38">
        <v>56599.5</v>
      </c>
      <c r="R747" s="38">
        <v>125832</v>
      </c>
      <c r="S747" s="38">
        <v>2555442.5600000005</v>
      </c>
      <c r="T747" s="38">
        <v>8015.28</v>
      </c>
      <c r="U747" s="38">
        <v>525525</v>
      </c>
      <c r="V747" s="38">
        <v>295473.07999999996</v>
      </c>
      <c r="W747" s="38">
        <v>43603.199999999997</v>
      </c>
      <c r="X747" s="38">
        <v>293436</v>
      </c>
      <c r="Y747" s="38">
        <v>1166052.56</v>
      </c>
      <c r="Z747" s="38">
        <v>8337.6</v>
      </c>
      <c r="AA747" s="38">
        <v>164092.5</v>
      </c>
      <c r="AB747" s="38">
        <v>523515.83999999997</v>
      </c>
      <c r="AC747" s="38">
        <v>19324.8</v>
      </c>
      <c r="AD747" s="38">
        <v>1238760</v>
      </c>
      <c r="AE747" s="38">
        <v>1954030.74</v>
      </c>
      <c r="AF747" s="38">
        <v>9295611.1000000015</v>
      </c>
    </row>
    <row r="748" spans="1:32" x14ac:dyDescent="0.2">
      <c r="A748" s="42" t="s">
        <v>411</v>
      </c>
      <c r="B748" s="38">
        <v>22931.040000000001</v>
      </c>
      <c r="C748" s="38">
        <v>313862.5</v>
      </c>
      <c r="D748" s="38">
        <v>670490.56000000006</v>
      </c>
      <c r="E748" s="38">
        <v>20826</v>
      </c>
      <c r="F748" s="38">
        <v>391716</v>
      </c>
      <c r="G748" s="38">
        <v>1419826.1</v>
      </c>
      <c r="H748" s="38">
        <v>20991.599999999999</v>
      </c>
      <c r="I748" s="38">
        <v>211233.75</v>
      </c>
      <c r="J748" s="38">
        <v>642049.1</v>
      </c>
      <c r="K748" s="38">
        <v>4766.8500000000004</v>
      </c>
      <c r="L748" s="38">
        <v>106536</v>
      </c>
      <c r="M748" s="38">
        <v>985577.29999999993</v>
      </c>
      <c r="N748" s="38">
        <v>19383</v>
      </c>
      <c r="O748" s="38">
        <v>290625</v>
      </c>
      <c r="P748" s="38">
        <v>741411.4</v>
      </c>
      <c r="Q748" s="38">
        <v>13240.5</v>
      </c>
      <c r="R748" s="38">
        <v>654288</v>
      </c>
      <c r="S748" s="38">
        <v>1718947.9</v>
      </c>
      <c r="T748" s="38">
        <v>30835.08</v>
      </c>
      <c r="U748" s="38">
        <v>203350</v>
      </c>
      <c r="V748" s="38">
        <v>677893.28</v>
      </c>
      <c r="W748" s="38">
        <v>24123</v>
      </c>
      <c r="X748" s="38">
        <v>679905</v>
      </c>
      <c r="Y748" s="38">
        <v>1616106.36</v>
      </c>
      <c r="Z748" s="38">
        <v>10944</v>
      </c>
      <c r="AA748" s="38">
        <v>202950</v>
      </c>
      <c r="AB748" s="38">
        <v>622848.04</v>
      </c>
      <c r="AC748" s="38">
        <v>33633.599999999999</v>
      </c>
      <c r="AD748" s="38">
        <v>656370</v>
      </c>
      <c r="AE748" s="38">
        <v>1526745.6400000001</v>
      </c>
      <c r="AF748" s="38">
        <v>7267203.3000000007</v>
      </c>
    </row>
    <row r="749" spans="1:32" x14ac:dyDescent="0.2">
      <c r="A749" s="42" t="s">
        <v>432</v>
      </c>
      <c r="B749" s="38">
        <v>10569.12</v>
      </c>
      <c r="C749" s="38">
        <v>215550</v>
      </c>
      <c r="D749" s="38">
        <v>641908.06999999995</v>
      </c>
      <c r="E749" s="38">
        <v>32280</v>
      </c>
      <c r="F749" s="38">
        <v>686952</v>
      </c>
      <c r="G749" s="38">
        <v>1587259.19</v>
      </c>
      <c r="H749" s="38">
        <v>3341.52</v>
      </c>
      <c r="I749" s="38">
        <v>166725</v>
      </c>
      <c r="J749" s="38">
        <v>419412.4</v>
      </c>
      <c r="K749" s="38">
        <v>32558.400000000001</v>
      </c>
      <c r="L749" s="38">
        <v>313104</v>
      </c>
      <c r="M749" s="38">
        <v>935141.32000000007</v>
      </c>
      <c r="N749" s="38">
        <v>18478.8</v>
      </c>
      <c r="O749" s="38">
        <v>104222.5</v>
      </c>
      <c r="P749" s="38">
        <v>613820.55000000005</v>
      </c>
      <c r="Q749" s="38">
        <v>30153</v>
      </c>
      <c r="R749" s="38">
        <v>91182</v>
      </c>
      <c r="S749" s="38">
        <v>857856.85000000009</v>
      </c>
      <c r="T749" s="38">
        <v>15180</v>
      </c>
      <c r="U749" s="38">
        <v>303257.5</v>
      </c>
      <c r="V749" s="38">
        <v>688614.64</v>
      </c>
      <c r="W749" s="38">
        <v>5016</v>
      </c>
      <c r="X749" s="38">
        <v>313500</v>
      </c>
      <c r="Y749" s="38">
        <v>1325568.1400000001</v>
      </c>
      <c r="Z749" s="38">
        <v>20794.8</v>
      </c>
      <c r="AA749" s="38">
        <v>259037.5</v>
      </c>
      <c r="AB749" s="38">
        <v>131477.78</v>
      </c>
      <c r="AC749" s="38">
        <v>28297.5</v>
      </c>
      <c r="AD749" s="38">
        <v>223008</v>
      </c>
      <c r="AE749" s="38">
        <v>662615.57999999996</v>
      </c>
      <c r="AF749" s="38">
        <v>5368441.0799999991</v>
      </c>
    </row>
    <row r="750" spans="1:32" x14ac:dyDescent="0.2">
      <c r="A750" s="37" t="s">
        <v>412</v>
      </c>
      <c r="B750" s="38">
        <v>376642.38</v>
      </c>
      <c r="C750" s="38">
        <v>3086068.75</v>
      </c>
      <c r="D750" s="38">
        <v>8262810.3999999985</v>
      </c>
      <c r="E750" s="38">
        <v>380275.58</v>
      </c>
      <c r="F750" s="38">
        <v>7605969</v>
      </c>
      <c r="G750" s="38">
        <v>19711766.109999999</v>
      </c>
      <c r="H750" s="38">
        <v>297772.67999999993</v>
      </c>
      <c r="I750" s="38">
        <v>3235759.38</v>
      </c>
      <c r="J750" s="38">
        <v>9024695.7300000004</v>
      </c>
      <c r="K750" s="38">
        <v>489732.83</v>
      </c>
      <c r="L750" s="38">
        <v>6173416.5</v>
      </c>
      <c r="M750" s="38">
        <v>19221377.120000001</v>
      </c>
      <c r="N750" s="38">
        <v>255644.52000000002</v>
      </c>
      <c r="O750" s="38">
        <v>3378221.25</v>
      </c>
      <c r="P750" s="38">
        <v>7307771.8300000001</v>
      </c>
      <c r="Q750" s="38">
        <v>192738.75000000003</v>
      </c>
      <c r="R750" s="38">
        <v>6143229</v>
      </c>
      <c r="S750" s="38">
        <v>17277605.350000001</v>
      </c>
      <c r="T750" s="38">
        <v>169615.32</v>
      </c>
      <c r="U750" s="38">
        <v>2178395</v>
      </c>
      <c r="V750" s="38">
        <v>7844155.5800000019</v>
      </c>
      <c r="W750" s="38">
        <v>429649.95</v>
      </c>
      <c r="X750" s="38">
        <v>5573115</v>
      </c>
      <c r="Y750" s="38">
        <v>16194930.850000001</v>
      </c>
      <c r="Z750" s="38">
        <v>302828.45999999996</v>
      </c>
      <c r="AA750" s="38">
        <v>3683687.5</v>
      </c>
      <c r="AB750" s="38">
        <v>6979141.8600000003</v>
      </c>
      <c r="AC750" s="38">
        <v>343242.52999999997</v>
      </c>
      <c r="AD750" s="38">
        <v>8596515</v>
      </c>
      <c r="AE750" s="38">
        <v>19905415.350000001</v>
      </c>
      <c r="AF750" s="38">
        <v>92311094.780000016</v>
      </c>
    </row>
    <row r="751" spans="1:32" x14ac:dyDescent="0.2">
      <c r="A751" s="42" t="s">
        <v>413</v>
      </c>
      <c r="B751" s="38">
        <v>36208.620000000003</v>
      </c>
      <c r="C751" s="38">
        <v>180416.25</v>
      </c>
      <c r="D751" s="38">
        <v>731414.22</v>
      </c>
      <c r="E751" s="38">
        <v>5126.3999999999996</v>
      </c>
      <c r="F751" s="38">
        <v>233091</v>
      </c>
      <c r="G751" s="38">
        <v>1186256.49</v>
      </c>
      <c r="H751" s="38">
        <v>18519.12</v>
      </c>
      <c r="I751" s="38">
        <v>233531.25</v>
      </c>
      <c r="J751" s="38">
        <v>532063.5</v>
      </c>
      <c r="K751" s="38">
        <v>52167.38</v>
      </c>
      <c r="L751" s="38">
        <v>708439.5</v>
      </c>
      <c r="M751" s="38">
        <v>1544720.75</v>
      </c>
      <c r="N751" s="38">
        <v>28855.56</v>
      </c>
      <c r="O751" s="38">
        <v>352106.25</v>
      </c>
      <c r="P751" s="38">
        <v>274152.8</v>
      </c>
      <c r="Q751" s="38">
        <v>9193.5</v>
      </c>
      <c r="R751" s="38">
        <v>210627</v>
      </c>
      <c r="S751" s="38">
        <v>874935.11</v>
      </c>
      <c r="T751" s="38">
        <v>26114.400000000001</v>
      </c>
      <c r="U751" s="38">
        <v>61632.5</v>
      </c>
      <c r="V751" s="38">
        <v>827061.7</v>
      </c>
      <c r="W751" s="38">
        <v>40769.25</v>
      </c>
      <c r="X751" s="38">
        <v>700245</v>
      </c>
      <c r="Y751" s="38">
        <v>1655822.85</v>
      </c>
      <c r="Z751" s="38">
        <v>21359.52</v>
      </c>
      <c r="AA751" s="38">
        <v>65137.5</v>
      </c>
      <c r="AB751" s="38">
        <v>328940.71999999997</v>
      </c>
      <c r="AC751" s="38">
        <v>7908.75</v>
      </c>
      <c r="AD751" s="38">
        <v>922680</v>
      </c>
      <c r="AE751" s="38">
        <v>1346026.49</v>
      </c>
      <c r="AF751" s="38">
        <v>6607761.6899999995</v>
      </c>
    </row>
    <row r="752" spans="1:32" x14ac:dyDescent="0.2">
      <c r="A752" s="42" t="s">
        <v>414</v>
      </c>
      <c r="B752" s="38">
        <v>20687.16</v>
      </c>
      <c r="C752" s="38">
        <v>111860</v>
      </c>
      <c r="D752" s="38">
        <v>714582.72</v>
      </c>
      <c r="E752" s="38">
        <v>34736.1</v>
      </c>
      <c r="F752" s="38">
        <v>600300</v>
      </c>
      <c r="G752" s="38">
        <v>1482165.98</v>
      </c>
      <c r="H752" s="38">
        <v>21261</v>
      </c>
      <c r="I752" s="38">
        <v>225500</v>
      </c>
      <c r="J752" s="38">
        <v>989020.86</v>
      </c>
      <c r="K752" s="38">
        <v>34095.599999999999</v>
      </c>
      <c r="L752" s="38">
        <v>267561</v>
      </c>
      <c r="M752" s="38">
        <v>1537438.46</v>
      </c>
      <c r="N752" s="38">
        <v>12722.4</v>
      </c>
      <c r="O752" s="38">
        <v>95831.25</v>
      </c>
      <c r="P752" s="38">
        <v>509289.02</v>
      </c>
      <c r="Q752" s="38">
        <v>3586.2</v>
      </c>
      <c r="R752" s="38">
        <v>725907</v>
      </c>
      <c r="S752" s="38">
        <v>1347335.87</v>
      </c>
      <c r="T752" s="38">
        <v>8113.32</v>
      </c>
      <c r="U752" s="38">
        <v>169312.5</v>
      </c>
      <c r="V752" s="38">
        <v>639251.6</v>
      </c>
      <c r="W752" s="38">
        <v>14610</v>
      </c>
      <c r="X752" s="38">
        <v>766413</v>
      </c>
      <c r="Y752" s="38">
        <v>1597700.42</v>
      </c>
      <c r="Z752" s="38">
        <v>22073.040000000001</v>
      </c>
      <c r="AA752" s="38">
        <v>323712.5</v>
      </c>
      <c r="AB752" s="38">
        <v>137018.22</v>
      </c>
      <c r="AC752" s="38">
        <v>22482.9</v>
      </c>
      <c r="AD752" s="38">
        <v>827604</v>
      </c>
      <c r="AE752" s="38">
        <v>1332890.6600000001</v>
      </c>
      <c r="AF752" s="38">
        <v>7297531.3900000006</v>
      </c>
    </row>
    <row r="753" spans="1:32" x14ac:dyDescent="0.2">
      <c r="A753" s="42" t="s">
        <v>433</v>
      </c>
      <c r="B753" s="38">
        <v>6601.92</v>
      </c>
      <c r="C753" s="38">
        <v>215097.5</v>
      </c>
      <c r="D753" s="38">
        <v>332004.27999999997</v>
      </c>
      <c r="E753" s="38">
        <v>28324.799999999999</v>
      </c>
      <c r="F753" s="38">
        <v>229104</v>
      </c>
      <c r="G753" s="38">
        <v>811132.5</v>
      </c>
      <c r="H753" s="38">
        <v>21479.64</v>
      </c>
      <c r="I753" s="38">
        <v>283218.75</v>
      </c>
      <c r="J753" s="38">
        <v>589411.56000000006</v>
      </c>
      <c r="K753" s="38">
        <v>34513.800000000003</v>
      </c>
      <c r="L753" s="38">
        <v>631125</v>
      </c>
      <c r="M753" s="38">
        <v>1559748.75</v>
      </c>
      <c r="N753" s="38">
        <v>25932</v>
      </c>
      <c r="O753" s="38">
        <v>95400</v>
      </c>
      <c r="P753" s="38">
        <v>268216.58999999997</v>
      </c>
      <c r="Q753" s="38">
        <v>13815</v>
      </c>
      <c r="R753" s="38">
        <v>76146</v>
      </c>
      <c r="S753" s="38">
        <v>479509.58999999997</v>
      </c>
      <c r="T753" s="38">
        <v>5100</v>
      </c>
      <c r="U753" s="38">
        <v>128110</v>
      </c>
      <c r="V753" s="38">
        <v>456712.66</v>
      </c>
      <c r="W753" s="38">
        <v>32877.9</v>
      </c>
      <c r="X753" s="38">
        <v>323694</v>
      </c>
      <c r="Y753" s="38">
        <v>946494.55999999994</v>
      </c>
      <c r="Z753" s="38">
        <v>16876.8</v>
      </c>
      <c r="AA753" s="38">
        <v>355300</v>
      </c>
      <c r="AB753" s="38">
        <v>600751.27</v>
      </c>
      <c r="AC753" s="38">
        <v>8936.4</v>
      </c>
      <c r="AD753" s="38">
        <v>808110</v>
      </c>
      <c r="AE753" s="38">
        <v>1789974.4700000002</v>
      </c>
      <c r="AF753" s="38">
        <v>5586859.8700000001</v>
      </c>
    </row>
    <row r="754" spans="1:32" x14ac:dyDescent="0.2">
      <c r="A754" s="42" t="s">
        <v>434</v>
      </c>
      <c r="B754" s="38">
        <v>38021.4</v>
      </c>
      <c r="C754" s="38">
        <v>90956.25</v>
      </c>
      <c r="D754" s="38">
        <v>405924.3</v>
      </c>
      <c r="E754" s="38">
        <v>20578.5</v>
      </c>
      <c r="F754" s="38">
        <v>1038082.5</v>
      </c>
      <c r="G754" s="38">
        <v>1593562.95</v>
      </c>
      <c r="H754" s="38">
        <v>19401.66</v>
      </c>
      <c r="I754" s="38">
        <v>514524.38</v>
      </c>
      <c r="J754" s="38">
        <v>277270.56</v>
      </c>
      <c r="K754" s="38">
        <v>53594.1</v>
      </c>
      <c r="L754" s="38">
        <v>468072</v>
      </c>
      <c r="M754" s="38">
        <v>1332862.7000000002</v>
      </c>
      <c r="N754" s="38">
        <v>34056</v>
      </c>
      <c r="O754" s="38">
        <v>527437.5</v>
      </c>
      <c r="P754" s="38">
        <v>419058.96</v>
      </c>
      <c r="Q754" s="38">
        <v>6885</v>
      </c>
      <c r="R754" s="38">
        <v>407376</v>
      </c>
      <c r="S754" s="38">
        <v>1394813.46</v>
      </c>
      <c r="T754" s="38">
        <v>22302.240000000002</v>
      </c>
      <c r="U754" s="38">
        <v>128880</v>
      </c>
      <c r="V754" s="38">
        <v>381862.05</v>
      </c>
      <c r="W754" s="38">
        <v>35872.199999999997</v>
      </c>
      <c r="X754" s="38">
        <v>457995</v>
      </c>
      <c r="Y754" s="38">
        <v>1026911.49</v>
      </c>
      <c r="Z754" s="38">
        <v>23436</v>
      </c>
      <c r="AA754" s="38">
        <v>387618.75</v>
      </c>
      <c r="AB754" s="38">
        <v>472008.98000000004</v>
      </c>
      <c r="AC754" s="38">
        <v>50163.75</v>
      </c>
      <c r="AD754" s="38">
        <v>683397</v>
      </c>
      <c r="AE754" s="38">
        <v>1616624.48</v>
      </c>
      <c r="AF754" s="38">
        <v>6964775.0800000001</v>
      </c>
    </row>
    <row r="755" spans="1:32" x14ac:dyDescent="0.2">
      <c r="A755" s="42" t="s">
        <v>415</v>
      </c>
      <c r="B755" s="38">
        <v>22271.040000000001</v>
      </c>
      <c r="C755" s="38">
        <v>191231.25</v>
      </c>
      <c r="D755" s="38">
        <v>77976.479999999996</v>
      </c>
      <c r="E755" s="38">
        <v>17604.900000000001</v>
      </c>
      <c r="F755" s="38">
        <v>474858</v>
      </c>
      <c r="G755" s="38">
        <v>783941.67</v>
      </c>
      <c r="H755" s="38">
        <v>9976.32</v>
      </c>
      <c r="I755" s="38">
        <v>159421.25</v>
      </c>
      <c r="J755" s="38">
        <v>567455.9</v>
      </c>
      <c r="K755" s="38">
        <v>36031.5</v>
      </c>
      <c r="L755" s="38">
        <v>269892</v>
      </c>
      <c r="M755" s="38">
        <v>1042776.97</v>
      </c>
      <c r="N755" s="38">
        <v>9609.6</v>
      </c>
      <c r="O755" s="38">
        <v>278810</v>
      </c>
      <c r="P755" s="38">
        <v>499458.39999999997</v>
      </c>
      <c r="Q755" s="38">
        <v>21573</v>
      </c>
      <c r="R755" s="38">
        <v>508032</v>
      </c>
      <c r="S755" s="38">
        <v>1317483</v>
      </c>
      <c r="T755" s="38">
        <v>28100.16</v>
      </c>
      <c r="U755" s="38">
        <v>38362.5</v>
      </c>
      <c r="V755" s="38">
        <v>887383.16</v>
      </c>
      <c r="W755" s="38">
        <v>3344.25</v>
      </c>
      <c r="X755" s="38">
        <v>159570</v>
      </c>
      <c r="Y755" s="38">
        <v>1116760.07</v>
      </c>
      <c r="Z755" s="38">
        <v>18421.2</v>
      </c>
      <c r="AA755" s="38">
        <v>305730</v>
      </c>
      <c r="AB755" s="38">
        <v>774049.15</v>
      </c>
      <c r="AC755" s="38">
        <v>10665</v>
      </c>
      <c r="AD755" s="38">
        <v>840384</v>
      </c>
      <c r="AE755" s="38">
        <v>1949249.35</v>
      </c>
      <c r="AF755" s="38">
        <v>6210211.0600000015</v>
      </c>
    </row>
    <row r="756" spans="1:32" x14ac:dyDescent="0.2">
      <c r="A756" s="42" t="s">
        <v>416</v>
      </c>
      <c r="B756" s="38">
        <v>60432</v>
      </c>
      <c r="C756" s="38">
        <v>344302.5</v>
      </c>
      <c r="D756" s="38">
        <v>1643720.1</v>
      </c>
      <c r="E756" s="38">
        <v>80200.800000000003</v>
      </c>
      <c r="F756" s="38">
        <v>597324</v>
      </c>
      <c r="G756" s="38">
        <v>2725979.4</v>
      </c>
      <c r="H756" s="38">
        <v>44255.28</v>
      </c>
      <c r="I756" s="38">
        <v>194782.5</v>
      </c>
      <c r="J756" s="38">
        <v>1074822.2000000002</v>
      </c>
      <c r="K756" s="38">
        <v>65340</v>
      </c>
      <c r="L756" s="38">
        <v>249984</v>
      </c>
      <c r="M756" s="38">
        <v>1629183.9800000002</v>
      </c>
      <c r="N756" s="38">
        <v>37080</v>
      </c>
      <c r="O756" s="38">
        <v>380725</v>
      </c>
      <c r="P756" s="38">
        <v>784582.24</v>
      </c>
      <c r="Q756" s="38">
        <v>26640</v>
      </c>
      <c r="R756" s="38">
        <v>400998</v>
      </c>
      <c r="S756" s="38">
        <v>1630025.24</v>
      </c>
      <c r="T756" s="38">
        <v>12611.52</v>
      </c>
      <c r="U756" s="38">
        <v>162190</v>
      </c>
      <c r="V756" s="38">
        <v>603272.88</v>
      </c>
      <c r="W756" s="38">
        <v>74100</v>
      </c>
      <c r="X756" s="38">
        <v>1357920</v>
      </c>
      <c r="Y756" s="38">
        <v>2210094.4</v>
      </c>
      <c r="Z756" s="38">
        <v>26859.84</v>
      </c>
      <c r="AA756" s="38">
        <v>179932.5</v>
      </c>
      <c r="AB756" s="38">
        <v>484949.76000000001</v>
      </c>
      <c r="AC756" s="38">
        <v>66998.7</v>
      </c>
      <c r="AD756" s="38">
        <v>564870</v>
      </c>
      <c r="AE756" s="38">
        <v>1323610.7999999998</v>
      </c>
      <c r="AF756" s="38">
        <v>9518893.8199999984</v>
      </c>
    </row>
    <row r="757" spans="1:32" x14ac:dyDescent="0.2">
      <c r="A757" s="42" t="s">
        <v>417</v>
      </c>
      <c r="B757" s="38">
        <v>42997.68</v>
      </c>
      <c r="C757" s="38">
        <v>333187.5</v>
      </c>
      <c r="D757" s="38">
        <v>675482.28</v>
      </c>
      <c r="E757" s="38">
        <v>22256.33</v>
      </c>
      <c r="F757" s="38">
        <v>1035625.5</v>
      </c>
      <c r="G757" s="38">
        <v>2109549.29</v>
      </c>
      <c r="H757" s="38">
        <v>25904.34</v>
      </c>
      <c r="I757" s="38">
        <v>358560</v>
      </c>
      <c r="J757" s="38">
        <v>249596.34</v>
      </c>
      <c r="K757" s="38">
        <v>51143.4</v>
      </c>
      <c r="L757" s="38">
        <v>462861</v>
      </c>
      <c r="M757" s="38">
        <v>1148065.08</v>
      </c>
      <c r="N757" s="38">
        <v>4404</v>
      </c>
      <c r="O757" s="38">
        <v>408386.25</v>
      </c>
      <c r="P757" s="38">
        <v>439949.5</v>
      </c>
      <c r="Q757" s="38">
        <v>6273</v>
      </c>
      <c r="R757" s="38">
        <v>750537</v>
      </c>
      <c r="S757" s="38">
        <v>1609549.75</v>
      </c>
      <c r="T757" s="38">
        <v>5961.24</v>
      </c>
      <c r="U757" s="38">
        <v>225596.25</v>
      </c>
      <c r="V757" s="38">
        <v>480088.95</v>
      </c>
      <c r="W757" s="38">
        <v>8653.5</v>
      </c>
      <c r="X757" s="38">
        <v>206658</v>
      </c>
      <c r="Y757" s="38">
        <v>926957.94</v>
      </c>
      <c r="Z757" s="38">
        <v>15940.98</v>
      </c>
      <c r="AA757" s="38">
        <v>430706.25</v>
      </c>
      <c r="AB757" s="38">
        <v>1184757.57</v>
      </c>
      <c r="AC757" s="38">
        <v>42713.33</v>
      </c>
      <c r="AD757" s="38">
        <v>634680</v>
      </c>
      <c r="AE757" s="38">
        <v>2308798.13</v>
      </c>
      <c r="AF757" s="38">
        <v>8102920.1900000004</v>
      </c>
    </row>
    <row r="758" spans="1:32" x14ac:dyDescent="0.2">
      <c r="A758" s="42" t="s">
        <v>435</v>
      </c>
      <c r="B758" s="38">
        <v>21025.439999999999</v>
      </c>
      <c r="C758" s="38">
        <v>114221.25</v>
      </c>
      <c r="D758" s="38">
        <v>238835.09999999998</v>
      </c>
      <c r="E758" s="38">
        <v>32627.25</v>
      </c>
      <c r="F758" s="38">
        <v>545334</v>
      </c>
      <c r="G758" s="38">
        <v>952043.04</v>
      </c>
      <c r="H758" s="38">
        <v>25542</v>
      </c>
      <c r="I758" s="38">
        <v>124737.5</v>
      </c>
      <c r="J758" s="38">
        <v>169101.64</v>
      </c>
      <c r="K758" s="38">
        <v>29308.95</v>
      </c>
      <c r="L758" s="38">
        <v>431112</v>
      </c>
      <c r="M758" s="38">
        <v>779802.09000000008</v>
      </c>
      <c r="N758" s="38">
        <v>27799.200000000001</v>
      </c>
      <c r="O758" s="38">
        <v>293993.75</v>
      </c>
      <c r="P758" s="38">
        <v>164993.91999999998</v>
      </c>
      <c r="Q758" s="38">
        <v>24576.3</v>
      </c>
      <c r="R758" s="38">
        <v>535392</v>
      </c>
      <c r="S758" s="38">
        <v>1046755.1699999999</v>
      </c>
      <c r="T758" s="38">
        <v>12802.2</v>
      </c>
      <c r="U758" s="38">
        <v>177100</v>
      </c>
      <c r="V758" s="38">
        <v>574967.4</v>
      </c>
      <c r="W758" s="38">
        <v>26486.400000000001</v>
      </c>
      <c r="X758" s="38">
        <v>287400</v>
      </c>
      <c r="Y758" s="38">
        <v>1078756</v>
      </c>
      <c r="Z758" s="38">
        <v>25692</v>
      </c>
      <c r="AA758" s="38">
        <v>352625</v>
      </c>
      <c r="AB758" s="38">
        <v>942379.32</v>
      </c>
      <c r="AC758" s="38">
        <v>30991.8</v>
      </c>
      <c r="AD758" s="38">
        <v>655578</v>
      </c>
      <c r="AE758" s="38">
        <v>2007266.1199999999</v>
      </c>
      <c r="AF758" s="38">
        <v>5864622.4199999999</v>
      </c>
    </row>
    <row r="759" spans="1:32" x14ac:dyDescent="0.2">
      <c r="A759" s="42" t="s">
        <v>409</v>
      </c>
      <c r="B759" s="38">
        <v>17166.599999999999</v>
      </c>
      <c r="C759" s="38">
        <v>64496.25</v>
      </c>
      <c r="D759" s="38">
        <v>264861.56</v>
      </c>
      <c r="E759" s="38">
        <v>3139.2</v>
      </c>
      <c r="F759" s="38">
        <v>588984</v>
      </c>
      <c r="G759" s="38">
        <v>938647.6100000001</v>
      </c>
      <c r="H759" s="38">
        <v>31731.48</v>
      </c>
      <c r="I759" s="38">
        <v>70443.75</v>
      </c>
      <c r="J759" s="38">
        <v>968382.76</v>
      </c>
      <c r="K759" s="38">
        <v>37335</v>
      </c>
      <c r="L759" s="38">
        <v>645300</v>
      </c>
      <c r="M759" s="38">
        <v>1753192.99</v>
      </c>
      <c r="N759" s="38">
        <v>17253.599999999999</v>
      </c>
      <c r="O759" s="38">
        <v>242613.75</v>
      </c>
      <c r="P759" s="38">
        <v>691359.6</v>
      </c>
      <c r="Q759" s="38">
        <v>11092.95</v>
      </c>
      <c r="R759" s="38">
        <v>292842</v>
      </c>
      <c r="S759" s="38">
        <v>1255161.8999999999</v>
      </c>
      <c r="T759" s="38">
        <v>6339.36</v>
      </c>
      <c r="U759" s="38">
        <v>240012.5</v>
      </c>
      <c r="V759" s="38">
        <v>622369.39999999991</v>
      </c>
      <c r="W759" s="38">
        <v>37080</v>
      </c>
      <c r="X759" s="38">
        <v>116640</v>
      </c>
      <c r="Y759" s="38">
        <v>1022441.2599999999</v>
      </c>
      <c r="Z759" s="38">
        <v>22663.08</v>
      </c>
      <c r="AA759" s="38">
        <v>179550</v>
      </c>
      <c r="AB759" s="38">
        <v>694555.1</v>
      </c>
      <c r="AC759" s="38">
        <v>22794.3</v>
      </c>
      <c r="AD759" s="38">
        <v>509691</v>
      </c>
      <c r="AE759" s="38">
        <v>1429253.48</v>
      </c>
      <c r="AF759" s="38">
        <v>6398697.2399999993</v>
      </c>
    </row>
    <row r="760" spans="1:32" x14ac:dyDescent="0.2">
      <c r="A760" s="42" t="s">
        <v>410</v>
      </c>
      <c r="B760" s="38">
        <v>30458.400000000001</v>
      </c>
      <c r="C760" s="38">
        <v>487182.5</v>
      </c>
      <c r="D760" s="38">
        <v>885501.07999999984</v>
      </c>
      <c r="E760" s="38">
        <v>40846.5</v>
      </c>
      <c r="F760" s="38">
        <v>771936</v>
      </c>
      <c r="G760" s="38">
        <v>2215924.48</v>
      </c>
      <c r="H760" s="38">
        <v>28751.52</v>
      </c>
      <c r="I760" s="38">
        <v>543122.5</v>
      </c>
      <c r="J760" s="38">
        <v>1557292.4400000004</v>
      </c>
      <c r="K760" s="38">
        <v>33497.1</v>
      </c>
      <c r="L760" s="38">
        <v>1216998</v>
      </c>
      <c r="M760" s="38">
        <v>3379661.5600000005</v>
      </c>
      <c r="N760" s="38">
        <v>10081.92</v>
      </c>
      <c r="O760" s="38">
        <v>230562.5</v>
      </c>
      <c r="P760" s="38">
        <v>1986884.4</v>
      </c>
      <c r="Q760" s="38">
        <v>29962.5</v>
      </c>
      <c r="R760" s="38">
        <v>1164096</v>
      </c>
      <c r="S760" s="38">
        <v>3421587.32</v>
      </c>
      <c r="T760" s="38">
        <v>8560.7999999999993</v>
      </c>
      <c r="U760" s="38">
        <v>474320</v>
      </c>
      <c r="V760" s="38">
        <v>1035740.7</v>
      </c>
      <c r="W760" s="38">
        <v>58492.800000000003</v>
      </c>
      <c r="X760" s="38">
        <v>278460</v>
      </c>
      <c r="Y760" s="38">
        <v>1855574.3</v>
      </c>
      <c r="Z760" s="38">
        <v>60144.959999999999</v>
      </c>
      <c r="AA760" s="38">
        <v>204487.5</v>
      </c>
      <c r="AB760" s="38">
        <v>684765.2</v>
      </c>
      <c r="AC760" s="38">
        <v>32514.6</v>
      </c>
      <c r="AD760" s="38">
        <v>521160</v>
      </c>
      <c r="AE760" s="38">
        <v>1503072.2599999998</v>
      </c>
      <c r="AF760" s="38">
        <v>12375819.92</v>
      </c>
    </row>
    <row r="761" spans="1:32" x14ac:dyDescent="0.2">
      <c r="A761" s="42" t="s">
        <v>411</v>
      </c>
      <c r="B761" s="38">
        <v>25345.32</v>
      </c>
      <c r="C761" s="38">
        <v>284512.5</v>
      </c>
      <c r="D761" s="38">
        <v>242758.64</v>
      </c>
      <c r="E761" s="38">
        <v>35494.800000000003</v>
      </c>
      <c r="F761" s="38">
        <v>364722</v>
      </c>
      <c r="G761" s="38">
        <v>952833.26</v>
      </c>
      <c r="H761" s="38">
        <v>26136.720000000001</v>
      </c>
      <c r="I761" s="38">
        <v>215820</v>
      </c>
      <c r="J761" s="38">
        <v>513823.87</v>
      </c>
      <c r="K761" s="38">
        <v>6762</v>
      </c>
      <c r="L761" s="38">
        <v>361452</v>
      </c>
      <c r="M761" s="38">
        <v>1123994.5899999999</v>
      </c>
      <c r="N761" s="38">
        <v>26698.799999999999</v>
      </c>
      <c r="O761" s="38">
        <v>58650</v>
      </c>
      <c r="P761" s="38">
        <v>153464</v>
      </c>
      <c r="Q761" s="38">
        <v>19517.7</v>
      </c>
      <c r="R761" s="38">
        <v>358776</v>
      </c>
      <c r="S761" s="38">
        <v>617106.5</v>
      </c>
      <c r="T761" s="38">
        <v>8114.4</v>
      </c>
      <c r="U761" s="38">
        <v>99758.75</v>
      </c>
      <c r="V761" s="38">
        <v>408277.94</v>
      </c>
      <c r="W761" s="38">
        <v>39771.75</v>
      </c>
      <c r="X761" s="38">
        <v>567600</v>
      </c>
      <c r="Y761" s="38">
        <v>1123522.8399999999</v>
      </c>
      <c r="Z761" s="38">
        <v>30715.439999999999</v>
      </c>
      <c r="AA761" s="38">
        <v>262570</v>
      </c>
      <c r="AB761" s="38">
        <v>382063.57</v>
      </c>
      <c r="AC761" s="38">
        <v>28623</v>
      </c>
      <c r="AD761" s="38">
        <v>862785</v>
      </c>
      <c r="AE761" s="38">
        <v>1566757.01</v>
      </c>
      <c r="AF761" s="38">
        <v>5384214.2000000002</v>
      </c>
    </row>
    <row r="762" spans="1:32" x14ac:dyDescent="0.2">
      <c r="A762" s="42" t="s">
        <v>432</v>
      </c>
      <c r="B762" s="38">
        <v>55426.8</v>
      </c>
      <c r="C762" s="38">
        <v>668605</v>
      </c>
      <c r="D762" s="38">
        <v>2049749.6400000001</v>
      </c>
      <c r="E762" s="38">
        <v>59340</v>
      </c>
      <c r="F762" s="38">
        <v>1126608</v>
      </c>
      <c r="G762" s="38">
        <v>3959729.4400000004</v>
      </c>
      <c r="H762" s="38">
        <v>24813.599999999999</v>
      </c>
      <c r="I762" s="38">
        <v>312097.5</v>
      </c>
      <c r="J762" s="38">
        <v>1536454.1</v>
      </c>
      <c r="K762" s="38">
        <v>55944</v>
      </c>
      <c r="L762" s="38">
        <v>460620</v>
      </c>
      <c r="M762" s="38">
        <v>2389929.2000000002</v>
      </c>
      <c r="N762" s="38">
        <v>21151.439999999999</v>
      </c>
      <c r="O762" s="38">
        <v>413705</v>
      </c>
      <c r="P762" s="38">
        <v>1116362.4000000004</v>
      </c>
      <c r="Q762" s="38">
        <v>19623.599999999999</v>
      </c>
      <c r="R762" s="38">
        <v>712500</v>
      </c>
      <c r="S762" s="38">
        <v>2283342.4400000004</v>
      </c>
      <c r="T762" s="38">
        <v>25495.68</v>
      </c>
      <c r="U762" s="38">
        <v>273120</v>
      </c>
      <c r="V762" s="38">
        <v>927167.14000000013</v>
      </c>
      <c r="W762" s="38">
        <v>57591.9</v>
      </c>
      <c r="X762" s="38">
        <v>350520</v>
      </c>
      <c r="Y762" s="38">
        <v>1633894.72</v>
      </c>
      <c r="Z762" s="38">
        <v>18645.599999999999</v>
      </c>
      <c r="AA762" s="38">
        <v>636317.5</v>
      </c>
      <c r="AB762" s="38">
        <v>292903</v>
      </c>
      <c r="AC762" s="38">
        <v>18450</v>
      </c>
      <c r="AD762" s="38">
        <v>765576</v>
      </c>
      <c r="AE762" s="38">
        <v>1731892.1</v>
      </c>
      <c r="AF762" s="38">
        <v>11998787.900000002</v>
      </c>
    </row>
    <row r="763" spans="1:32" x14ac:dyDescent="0.2">
      <c r="A763" s="37" t="s">
        <v>405</v>
      </c>
      <c r="B763" s="38">
        <v>491164.14</v>
      </c>
      <c r="C763" s="38">
        <v>3967491.25</v>
      </c>
      <c r="D763" s="38">
        <v>10741236.520000001</v>
      </c>
      <c r="E763" s="38">
        <v>510213.98</v>
      </c>
      <c r="F763" s="38">
        <v>9177549</v>
      </c>
      <c r="G763" s="38">
        <v>24887654.890000001</v>
      </c>
      <c r="H763" s="38">
        <v>372090.36</v>
      </c>
      <c r="I763" s="38">
        <v>3890890.63</v>
      </c>
      <c r="J763" s="38">
        <v>12127782.719999999</v>
      </c>
      <c r="K763" s="38">
        <v>593802.08000000007</v>
      </c>
      <c r="L763" s="38">
        <v>7369606.5</v>
      </c>
      <c r="M763" s="38">
        <v>24354172.289999999</v>
      </c>
      <c r="N763" s="38">
        <v>336425.88</v>
      </c>
      <c r="O763" s="38">
        <v>4086826.25</v>
      </c>
      <c r="P763" s="38">
        <v>11452895.939999999</v>
      </c>
      <c r="Q763" s="38">
        <v>301344.75</v>
      </c>
      <c r="R763" s="38">
        <v>7327848</v>
      </c>
      <c r="S763" s="38">
        <v>23505340.82</v>
      </c>
      <c r="T763" s="38">
        <v>234379.07999999996</v>
      </c>
      <c r="U763" s="38">
        <v>3315881.25</v>
      </c>
      <c r="V763" s="38">
        <v>9791599.3800000008</v>
      </c>
      <c r="W763" s="38">
        <v>511136.4</v>
      </c>
      <c r="X763" s="38">
        <v>7096356</v>
      </c>
      <c r="Y763" s="38">
        <v>20949352.109999999</v>
      </c>
      <c r="Z763" s="38">
        <v>366534.18000000005</v>
      </c>
      <c r="AA763" s="38">
        <v>4350605</v>
      </c>
      <c r="AB763" s="38">
        <v>8390746.120000001</v>
      </c>
      <c r="AC763" s="38">
        <v>465385.87999999995</v>
      </c>
      <c r="AD763" s="38">
        <v>11456559</v>
      </c>
      <c r="AE763" s="38">
        <v>25029830.180000003</v>
      </c>
      <c r="AF763" s="38">
        <v>118726350.28999999</v>
      </c>
    </row>
    <row r="771" spans="1:7" x14ac:dyDescent="0.2">
      <c r="A771" s="36"/>
      <c r="B771" s="36" t="s">
        <v>429</v>
      </c>
      <c r="C771" s="36"/>
      <c r="D771" s="36"/>
      <c r="E771" s="36"/>
      <c r="F771" s="36"/>
      <c r="G771" s="36"/>
    </row>
    <row r="772" spans="1:7" x14ac:dyDescent="0.2">
      <c r="A772" s="36" t="s">
        <v>404</v>
      </c>
      <c r="B772" s="36" t="s">
        <v>392</v>
      </c>
      <c r="C772" s="36" t="s">
        <v>393</v>
      </c>
      <c r="D772" s="36" t="s">
        <v>388</v>
      </c>
      <c r="E772" s="36" t="s">
        <v>390</v>
      </c>
      <c r="F772" s="36" t="s">
        <v>394</v>
      </c>
      <c r="G772" s="36" t="s">
        <v>405</v>
      </c>
    </row>
    <row r="773" spans="1:7" x14ac:dyDescent="0.2">
      <c r="A773" s="37" t="s">
        <v>408</v>
      </c>
      <c r="B773" s="36"/>
      <c r="C773" s="36"/>
      <c r="D773" s="36"/>
      <c r="E773" s="36"/>
      <c r="F773" s="36"/>
      <c r="G773" s="36"/>
    </row>
    <row r="774" spans="1:7" x14ac:dyDescent="0.2">
      <c r="A774" s="42" t="s">
        <v>409</v>
      </c>
      <c r="B774" s="36"/>
      <c r="C774" s="36"/>
      <c r="D774" s="36"/>
      <c r="E774" s="36"/>
      <c r="F774" s="36"/>
      <c r="G774" s="36"/>
    </row>
    <row r="775" spans="1:7" x14ac:dyDescent="0.2">
      <c r="A775" s="42" t="s">
        <v>410</v>
      </c>
      <c r="B775" s="36"/>
      <c r="C775" s="36"/>
      <c r="D775" s="36"/>
      <c r="E775" s="36"/>
      <c r="F775" s="36"/>
      <c r="G775" s="36"/>
    </row>
    <row r="776" spans="1:7" x14ac:dyDescent="0.2">
      <c r="A776" s="42" t="s">
        <v>411</v>
      </c>
      <c r="B776" s="36"/>
      <c r="C776" s="36"/>
      <c r="D776" s="36"/>
      <c r="E776" s="36"/>
      <c r="F776" s="36"/>
      <c r="G776" s="36"/>
    </row>
    <row r="777" spans="1:7" x14ac:dyDescent="0.2">
      <c r="A777" s="42" t="s">
        <v>432</v>
      </c>
      <c r="B777" s="36"/>
      <c r="C777" s="36"/>
      <c r="D777" s="36"/>
      <c r="E777" s="36"/>
      <c r="F777" s="36"/>
      <c r="G777" s="36"/>
    </row>
    <row r="778" spans="1:7" x14ac:dyDescent="0.2">
      <c r="A778" s="37" t="s">
        <v>412</v>
      </c>
      <c r="B778" s="36"/>
      <c r="C778" s="36"/>
      <c r="D778" s="36"/>
      <c r="E778" s="36"/>
      <c r="F778" s="36"/>
      <c r="G778" s="36"/>
    </row>
    <row r="779" spans="1:7" x14ac:dyDescent="0.2">
      <c r="A779" s="42" t="s">
        <v>413</v>
      </c>
      <c r="B779" s="36"/>
      <c r="C779" s="36"/>
      <c r="D779" s="36"/>
      <c r="E779" s="36"/>
      <c r="F779" s="36"/>
      <c r="G779" s="36"/>
    </row>
    <row r="780" spans="1:7" x14ac:dyDescent="0.2">
      <c r="A780" s="42" t="s">
        <v>414</v>
      </c>
      <c r="B780" s="36"/>
      <c r="C780" s="36"/>
      <c r="D780" s="36"/>
      <c r="E780" s="36"/>
      <c r="F780" s="36"/>
      <c r="G780" s="36"/>
    </row>
    <row r="781" spans="1:7" x14ac:dyDescent="0.2">
      <c r="A781" s="42" t="s">
        <v>433</v>
      </c>
      <c r="B781" s="36"/>
      <c r="C781" s="36"/>
      <c r="D781" s="36"/>
      <c r="E781" s="36"/>
      <c r="F781" s="36"/>
      <c r="G781" s="36"/>
    </row>
    <row r="782" spans="1:7" x14ac:dyDescent="0.2">
      <c r="A782" s="42" t="s">
        <v>434</v>
      </c>
      <c r="B782" s="36"/>
      <c r="C782" s="36"/>
      <c r="D782" s="36"/>
      <c r="E782" s="36"/>
      <c r="F782" s="36"/>
      <c r="G782" s="36"/>
    </row>
    <row r="783" spans="1:7" x14ac:dyDescent="0.2">
      <c r="A783" s="42" t="s">
        <v>415</v>
      </c>
      <c r="B783" s="36"/>
      <c r="C783" s="36"/>
      <c r="D783" s="36"/>
      <c r="E783" s="36"/>
      <c r="F783" s="36"/>
      <c r="G783" s="36"/>
    </row>
    <row r="784" spans="1:7" x14ac:dyDescent="0.2">
      <c r="A784" s="42" t="s">
        <v>416</v>
      </c>
      <c r="B784" s="36"/>
      <c r="C784" s="36"/>
      <c r="D784" s="36"/>
      <c r="E784" s="36"/>
      <c r="F784" s="36"/>
      <c r="G784" s="36"/>
    </row>
    <row r="785" spans="1:7" x14ac:dyDescent="0.2">
      <c r="A785" s="42" t="s">
        <v>417</v>
      </c>
      <c r="B785" s="36"/>
      <c r="C785" s="36"/>
      <c r="D785" s="36"/>
      <c r="E785" s="36"/>
      <c r="F785" s="36"/>
      <c r="G785" s="36"/>
    </row>
    <row r="786" spans="1:7" x14ac:dyDescent="0.2">
      <c r="A786" s="42" t="s">
        <v>435</v>
      </c>
      <c r="B786" s="36"/>
      <c r="C786" s="36"/>
      <c r="D786" s="36"/>
      <c r="E786" s="36"/>
      <c r="F786" s="36"/>
      <c r="G786" s="36"/>
    </row>
    <row r="787" spans="1:7" x14ac:dyDescent="0.2">
      <c r="A787" s="42" t="s">
        <v>409</v>
      </c>
      <c r="B787" s="36"/>
      <c r="C787" s="36"/>
      <c r="D787" s="36"/>
      <c r="E787" s="36"/>
      <c r="F787" s="36"/>
      <c r="G787" s="36"/>
    </row>
    <row r="788" spans="1:7" x14ac:dyDescent="0.2">
      <c r="A788" s="42" t="s">
        <v>410</v>
      </c>
      <c r="B788" s="36"/>
      <c r="C788" s="36"/>
      <c r="D788" s="36"/>
      <c r="E788" s="36"/>
      <c r="F788" s="36"/>
      <c r="G788" s="36"/>
    </row>
    <row r="789" spans="1:7" x14ac:dyDescent="0.2">
      <c r="A789" s="42" t="s">
        <v>411</v>
      </c>
      <c r="B789" s="36"/>
      <c r="C789" s="36"/>
      <c r="D789" s="36"/>
      <c r="E789" s="36"/>
      <c r="F789" s="36"/>
      <c r="G789" s="36"/>
    </row>
    <row r="790" spans="1:7" x14ac:dyDescent="0.2">
      <c r="A790" s="42" t="s">
        <v>432</v>
      </c>
      <c r="B790" s="36"/>
      <c r="C790" s="36"/>
      <c r="D790" s="36"/>
      <c r="E790" s="36"/>
      <c r="F790" s="36"/>
      <c r="G790" s="36"/>
    </row>
    <row r="791" spans="1:7" x14ac:dyDescent="0.2">
      <c r="A791" s="37" t="s">
        <v>405</v>
      </c>
      <c r="B791" s="36"/>
      <c r="C791" s="36"/>
      <c r="D791" s="36"/>
      <c r="E791" s="36"/>
      <c r="F791" s="36"/>
      <c r="G791" s="36"/>
    </row>
    <row r="795" spans="1:7" x14ac:dyDescent="0.2">
      <c r="A795" t="s">
        <v>1582</v>
      </c>
    </row>
    <row r="797" spans="1:7" x14ac:dyDescent="0.2">
      <c r="A797" s="36" t="s">
        <v>403</v>
      </c>
      <c r="B797" s="36" t="s">
        <v>429</v>
      </c>
      <c r="C797" s="36"/>
    </row>
    <row r="798" spans="1:7" x14ac:dyDescent="0.2">
      <c r="A798" s="36" t="s">
        <v>404</v>
      </c>
      <c r="B798" s="36" t="s">
        <v>359</v>
      </c>
      <c r="C798" s="36" t="s">
        <v>405</v>
      </c>
    </row>
    <row r="799" spans="1:7" x14ac:dyDescent="0.2">
      <c r="A799" s="37" t="s">
        <v>408</v>
      </c>
      <c r="B799" s="38">
        <v>5124414.83</v>
      </c>
      <c r="C799" s="38">
        <v>5124414.83</v>
      </c>
    </row>
    <row r="800" spans="1:7" x14ac:dyDescent="0.2">
      <c r="A800" s="42" t="s">
        <v>409</v>
      </c>
      <c r="B800" s="38">
        <v>981022.87</v>
      </c>
      <c r="C800" s="38">
        <v>981022.87</v>
      </c>
    </row>
    <row r="801" spans="1:3" x14ac:dyDescent="0.2">
      <c r="A801" s="42" t="s">
        <v>410</v>
      </c>
      <c r="B801" s="38">
        <v>1954030.7400000002</v>
      </c>
      <c r="C801" s="38">
        <v>1954030.7400000002</v>
      </c>
    </row>
    <row r="802" spans="1:3" x14ac:dyDescent="0.2">
      <c r="A802" s="42" t="s">
        <v>411</v>
      </c>
      <c r="B802" s="38">
        <v>1526745.6400000001</v>
      </c>
      <c r="C802" s="38">
        <v>1526745.6400000001</v>
      </c>
    </row>
    <row r="803" spans="1:3" x14ac:dyDescent="0.2">
      <c r="A803" s="42" t="s">
        <v>432</v>
      </c>
      <c r="B803" s="38">
        <v>662615.57999999996</v>
      </c>
      <c r="C803" s="38">
        <v>662615.57999999996</v>
      </c>
    </row>
    <row r="804" spans="1:3" x14ac:dyDescent="0.2">
      <c r="A804" s="37" t="s">
        <v>412</v>
      </c>
      <c r="B804" s="38">
        <v>19905415.350000001</v>
      </c>
      <c r="C804" s="38">
        <v>19905415.350000001</v>
      </c>
    </row>
    <row r="805" spans="1:3" x14ac:dyDescent="0.2">
      <c r="A805" s="42" t="s">
        <v>413</v>
      </c>
      <c r="B805" s="38">
        <v>1346026.49</v>
      </c>
      <c r="C805" s="38">
        <v>1346026.49</v>
      </c>
    </row>
    <row r="806" spans="1:3" x14ac:dyDescent="0.2">
      <c r="A806" s="42" t="s">
        <v>414</v>
      </c>
      <c r="B806" s="38">
        <v>1332890.6600000001</v>
      </c>
      <c r="C806" s="38">
        <v>1332890.6600000001</v>
      </c>
    </row>
    <row r="807" spans="1:3" x14ac:dyDescent="0.2">
      <c r="A807" s="42" t="s">
        <v>433</v>
      </c>
      <c r="B807" s="38">
        <v>1789974.4700000002</v>
      </c>
      <c r="C807" s="38">
        <v>1789974.4700000002</v>
      </c>
    </row>
    <row r="808" spans="1:3" x14ac:dyDescent="0.2">
      <c r="A808" s="42" t="s">
        <v>434</v>
      </c>
      <c r="B808" s="38">
        <v>1616624.48</v>
      </c>
      <c r="C808" s="38">
        <v>1616624.48</v>
      </c>
    </row>
    <row r="809" spans="1:3" x14ac:dyDescent="0.2">
      <c r="A809" s="42" t="s">
        <v>415</v>
      </c>
      <c r="B809" s="38">
        <v>1949249.35</v>
      </c>
      <c r="C809" s="38">
        <v>1949249.35</v>
      </c>
    </row>
    <row r="810" spans="1:3" x14ac:dyDescent="0.2">
      <c r="A810" s="42" t="s">
        <v>416</v>
      </c>
      <c r="B810" s="38">
        <v>1323610.7999999998</v>
      </c>
      <c r="C810" s="38">
        <v>1323610.7999999998</v>
      </c>
    </row>
    <row r="811" spans="1:3" x14ac:dyDescent="0.2">
      <c r="A811" s="42" t="s">
        <v>417</v>
      </c>
      <c r="B811" s="38">
        <v>2308798.13</v>
      </c>
      <c r="C811" s="38">
        <v>2308798.13</v>
      </c>
    </row>
    <row r="812" spans="1:3" x14ac:dyDescent="0.2">
      <c r="A812" s="42" t="s">
        <v>435</v>
      </c>
      <c r="B812" s="38">
        <v>2007266.12</v>
      </c>
      <c r="C812" s="38">
        <v>2007266.12</v>
      </c>
    </row>
    <row r="813" spans="1:3" x14ac:dyDescent="0.2">
      <c r="A813" s="42" t="s">
        <v>409</v>
      </c>
      <c r="B813" s="38">
        <v>1429253.48</v>
      </c>
      <c r="C813" s="38">
        <v>1429253.48</v>
      </c>
    </row>
    <row r="814" spans="1:3" x14ac:dyDescent="0.2">
      <c r="A814" s="42" t="s">
        <v>410</v>
      </c>
      <c r="B814" s="38">
        <v>1503072.26</v>
      </c>
      <c r="C814" s="38">
        <v>1503072.26</v>
      </c>
    </row>
    <row r="815" spans="1:3" x14ac:dyDescent="0.2">
      <c r="A815" s="42" t="s">
        <v>411</v>
      </c>
      <c r="B815" s="38">
        <v>1566757.01</v>
      </c>
      <c r="C815" s="38">
        <v>1566757.01</v>
      </c>
    </row>
    <row r="816" spans="1:3" x14ac:dyDescent="0.2">
      <c r="A816" s="42" t="s">
        <v>432</v>
      </c>
      <c r="B816" s="38">
        <v>1731892.1</v>
      </c>
      <c r="C816" s="38">
        <v>1731892.1</v>
      </c>
    </row>
    <row r="817" spans="1:8" x14ac:dyDescent="0.2">
      <c r="A817" s="37" t="s">
        <v>405</v>
      </c>
      <c r="B817" s="38">
        <v>25029830.180000007</v>
      </c>
      <c r="C817" s="38">
        <v>25029830.180000007</v>
      </c>
    </row>
    <row r="819" spans="1:8" x14ac:dyDescent="0.2">
      <c r="A819" s="42" t="s">
        <v>1583</v>
      </c>
    </row>
    <row r="821" spans="1:8" x14ac:dyDescent="0.2">
      <c r="A821" s="36" t="s">
        <v>403</v>
      </c>
      <c r="B821" s="36" t="s">
        <v>429</v>
      </c>
      <c r="C821" s="36"/>
    </row>
    <row r="822" spans="1:8" x14ac:dyDescent="0.2">
      <c r="A822" s="36" t="s">
        <v>404</v>
      </c>
      <c r="B822" s="36" t="s">
        <v>352</v>
      </c>
      <c r="C822" s="36" t="s">
        <v>405</v>
      </c>
      <c r="D822" s="17"/>
      <c r="E822" s="17"/>
      <c r="F822" s="17"/>
      <c r="G822" s="17"/>
      <c r="H822" s="17"/>
    </row>
    <row r="823" spans="1:8" x14ac:dyDescent="0.2">
      <c r="A823" s="37" t="s">
        <v>408</v>
      </c>
      <c r="B823" s="38">
        <v>4754421.26</v>
      </c>
      <c r="C823" s="38">
        <v>4754421.26</v>
      </c>
    </row>
    <row r="824" spans="1:8" x14ac:dyDescent="0.2">
      <c r="A824" s="42" t="s">
        <v>409</v>
      </c>
      <c r="B824" s="38">
        <v>646694.19999999995</v>
      </c>
      <c r="C824" s="38">
        <v>646694.19999999995</v>
      </c>
    </row>
    <row r="825" spans="1:8" x14ac:dyDescent="0.2">
      <c r="A825" s="42" t="s">
        <v>410</v>
      </c>
      <c r="B825" s="38">
        <v>1166052.56</v>
      </c>
      <c r="C825" s="38">
        <v>1166052.56</v>
      </c>
    </row>
    <row r="826" spans="1:8" x14ac:dyDescent="0.2">
      <c r="A826" s="42" t="s">
        <v>411</v>
      </c>
      <c r="B826" s="38">
        <v>1616106.3599999999</v>
      </c>
      <c r="C826" s="38">
        <v>1616106.3599999999</v>
      </c>
    </row>
    <row r="827" spans="1:8" x14ac:dyDescent="0.2">
      <c r="A827" s="42" t="s">
        <v>432</v>
      </c>
      <c r="B827" s="38">
        <v>1325568.1400000001</v>
      </c>
      <c r="C827" s="38">
        <v>1325568.1400000001</v>
      </c>
    </row>
    <row r="828" spans="1:8" x14ac:dyDescent="0.2">
      <c r="A828" s="37" t="s">
        <v>412</v>
      </c>
      <c r="B828" s="38">
        <v>16194930.850000001</v>
      </c>
      <c r="C828" s="38">
        <v>16194930.850000001</v>
      </c>
    </row>
    <row r="829" spans="1:8" x14ac:dyDescent="0.2">
      <c r="A829" s="42" t="s">
        <v>413</v>
      </c>
      <c r="B829" s="38">
        <v>1655822.85</v>
      </c>
      <c r="C829" s="38">
        <v>1655822.85</v>
      </c>
    </row>
    <row r="830" spans="1:8" x14ac:dyDescent="0.2">
      <c r="A830" s="42" t="s">
        <v>414</v>
      </c>
      <c r="B830" s="38">
        <v>1597700.42</v>
      </c>
      <c r="C830" s="38">
        <v>1597700.42</v>
      </c>
    </row>
    <row r="831" spans="1:8" x14ac:dyDescent="0.2">
      <c r="A831" s="42" t="s">
        <v>433</v>
      </c>
      <c r="B831" s="38">
        <v>946494.56</v>
      </c>
      <c r="C831" s="38">
        <v>946494.56</v>
      </c>
    </row>
    <row r="832" spans="1:8" x14ac:dyDescent="0.2">
      <c r="A832" s="42" t="s">
        <v>434</v>
      </c>
      <c r="B832" s="38">
        <v>1026911.49</v>
      </c>
      <c r="C832" s="38">
        <v>1026911.49</v>
      </c>
    </row>
    <row r="833" spans="1:3" x14ac:dyDescent="0.2">
      <c r="A833" s="42" t="s">
        <v>415</v>
      </c>
      <c r="B833" s="38">
        <v>1116760.07</v>
      </c>
      <c r="C833" s="38">
        <v>1116760.07</v>
      </c>
    </row>
    <row r="834" spans="1:3" x14ac:dyDescent="0.2">
      <c r="A834" s="42" t="s">
        <v>416</v>
      </c>
      <c r="B834" s="38">
        <v>2210094.4</v>
      </c>
      <c r="C834" s="38">
        <v>2210094.4</v>
      </c>
    </row>
    <row r="835" spans="1:3" x14ac:dyDescent="0.2">
      <c r="A835" s="42" t="s">
        <v>417</v>
      </c>
      <c r="B835" s="38">
        <v>926957.94</v>
      </c>
      <c r="C835" s="38">
        <v>926957.94</v>
      </c>
    </row>
    <row r="836" spans="1:3" x14ac:dyDescent="0.2">
      <c r="A836" s="42" t="s">
        <v>435</v>
      </c>
      <c r="B836" s="38">
        <v>1078756</v>
      </c>
      <c r="C836" s="38">
        <v>1078756</v>
      </c>
    </row>
    <row r="837" spans="1:3" x14ac:dyDescent="0.2">
      <c r="A837" s="42" t="s">
        <v>409</v>
      </c>
      <c r="B837" s="38">
        <v>1022441.2599999999</v>
      </c>
      <c r="C837" s="38">
        <v>1022441.2599999999</v>
      </c>
    </row>
    <row r="838" spans="1:3" x14ac:dyDescent="0.2">
      <c r="A838" s="42" t="s">
        <v>410</v>
      </c>
      <c r="B838" s="38">
        <v>1855574.3</v>
      </c>
      <c r="C838" s="38">
        <v>1855574.3</v>
      </c>
    </row>
    <row r="839" spans="1:3" x14ac:dyDescent="0.2">
      <c r="A839" s="42" t="s">
        <v>411</v>
      </c>
      <c r="B839" s="38">
        <v>1123522.8399999999</v>
      </c>
      <c r="C839" s="38">
        <v>1123522.8399999999</v>
      </c>
    </row>
    <row r="840" spans="1:3" x14ac:dyDescent="0.2">
      <c r="A840" s="42" t="s">
        <v>432</v>
      </c>
      <c r="B840" s="38">
        <v>1633894.72</v>
      </c>
      <c r="C840" s="38">
        <v>1633894.72</v>
      </c>
    </row>
    <row r="841" spans="1:3" x14ac:dyDescent="0.2">
      <c r="A841" s="37" t="s">
        <v>405</v>
      </c>
      <c r="B841" s="38">
        <v>20949352.109999999</v>
      </c>
      <c r="C841" s="38">
        <v>20949352.109999999</v>
      </c>
    </row>
    <row r="844" spans="1:3" x14ac:dyDescent="0.2">
      <c r="A844" t="s">
        <v>1584</v>
      </c>
    </row>
    <row r="847" spans="1:3" x14ac:dyDescent="0.2">
      <c r="A847" s="36" t="s">
        <v>406</v>
      </c>
      <c r="B847" s="36" t="s">
        <v>429</v>
      </c>
      <c r="C847" s="36"/>
    </row>
    <row r="848" spans="1:3" x14ac:dyDescent="0.2">
      <c r="A848" s="36" t="s">
        <v>404</v>
      </c>
      <c r="B848" s="36" t="s">
        <v>304</v>
      </c>
      <c r="C848" s="36" t="s">
        <v>405</v>
      </c>
    </row>
    <row r="849" spans="1:3" x14ac:dyDescent="0.2">
      <c r="A849" s="37" t="s">
        <v>408</v>
      </c>
      <c r="B849" s="38">
        <v>811332.16999999993</v>
      </c>
      <c r="C849" s="38">
        <v>811332.16999999993</v>
      </c>
    </row>
    <row r="850" spans="1:3" x14ac:dyDescent="0.2">
      <c r="A850" s="42" t="s">
        <v>409</v>
      </c>
      <c r="B850" s="38">
        <v>175922.59</v>
      </c>
      <c r="C850" s="38">
        <v>175922.59</v>
      </c>
    </row>
    <row r="851" spans="1:3" x14ac:dyDescent="0.2">
      <c r="A851" s="42" t="s">
        <v>410</v>
      </c>
      <c r="B851" s="38">
        <v>431798.95999999996</v>
      </c>
      <c r="C851" s="38">
        <v>431798.95999999996</v>
      </c>
    </row>
    <row r="852" spans="1:3" x14ac:dyDescent="0.2">
      <c r="A852" s="42" t="s">
        <v>411</v>
      </c>
      <c r="B852" s="38">
        <v>120407.3</v>
      </c>
      <c r="C852" s="38">
        <v>120407.3</v>
      </c>
    </row>
    <row r="853" spans="1:3" x14ac:dyDescent="0.2">
      <c r="A853" s="42" t="s">
        <v>432</v>
      </c>
      <c r="B853" s="38">
        <v>83203.320000000007</v>
      </c>
      <c r="C853" s="38">
        <v>83203.320000000007</v>
      </c>
    </row>
    <row r="854" spans="1:3" x14ac:dyDescent="0.2">
      <c r="A854" s="37" t="s">
        <v>412</v>
      </c>
      <c r="B854" s="38">
        <v>2969688.62</v>
      </c>
      <c r="C854" s="38">
        <v>2969688.62</v>
      </c>
    </row>
    <row r="855" spans="1:3" x14ac:dyDescent="0.2">
      <c r="A855" s="42" t="s">
        <v>413</v>
      </c>
      <c r="B855" s="38">
        <v>247508.75</v>
      </c>
      <c r="C855" s="38">
        <v>247508.75</v>
      </c>
    </row>
    <row r="856" spans="1:3" x14ac:dyDescent="0.2">
      <c r="A856" s="42" t="s">
        <v>414</v>
      </c>
      <c r="B856" s="38">
        <v>323158.45999999996</v>
      </c>
      <c r="C856" s="38">
        <v>323158.45999999996</v>
      </c>
    </row>
    <row r="857" spans="1:3" x14ac:dyDescent="0.2">
      <c r="A857" s="42" t="s">
        <v>433</v>
      </c>
      <c r="B857" s="38">
        <v>131492.75</v>
      </c>
      <c r="C857" s="38">
        <v>131492.75</v>
      </c>
    </row>
    <row r="858" spans="1:3" x14ac:dyDescent="0.2">
      <c r="A858" s="42" t="s">
        <v>434</v>
      </c>
      <c r="B858" s="38">
        <v>136497.20000000001</v>
      </c>
      <c r="C858" s="38">
        <v>136497.20000000001</v>
      </c>
    </row>
    <row r="859" spans="1:3" x14ac:dyDescent="0.2">
      <c r="A859" s="42" t="s">
        <v>415</v>
      </c>
      <c r="B859" s="38">
        <v>156518.97</v>
      </c>
      <c r="C859" s="38">
        <v>156518.97</v>
      </c>
    </row>
    <row r="860" spans="1:3" x14ac:dyDescent="0.2">
      <c r="A860" s="42" t="s">
        <v>416</v>
      </c>
      <c r="B860" s="38">
        <v>333537.98</v>
      </c>
      <c r="C860" s="38">
        <v>333537.98</v>
      </c>
    </row>
    <row r="861" spans="1:3" x14ac:dyDescent="0.2">
      <c r="A861" s="42" t="s">
        <v>417</v>
      </c>
      <c r="B861" s="38">
        <v>131731.08000000002</v>
      </c>
      <c r="C861" s="38">
        <v>131731.08000000002</v>
      </c>
    </row>
    <row r="862" spans="1:3" x14ac:dyDescent="0.2">
      <c r="A862" s="42" t="s">
        <v>435</v>
      </c>
      <c r="B862" s="38">
        <v>91657.09</v>
      </c>
      <c r="C862" s="38">
        <v>91657.09</v>
      </c>
    </row>
    <row r="863" spans="1:3" x14ac:dyDescent="0.2">
      <c r="A863" s="42" t="s">
        <v>409</v>
      </c>
      <c r="B863" s="38">
        <v>335839.99</v>
      </c>
      <c r="C863" s="38">
        <v>335839.99</v>
      </c>
    </row>
    <row r="864" spans="1:3" x14ac:dyDescent="0.2">
      <c r="A864" s="42" t="s">
        <v>410</v>
      </c>
      <c r="B864" s="38">
        <v>481553.55999999994</v>
      </c>
      <c r="C864" s="38">
        <v>481553.55999999994</v>
      </c>
    </row>
    <row r="865" spans="1:3" x14ac:dyDescent="0.2">
      <c r="A865" s="42" t="s">
        <v>411</v>
      </c>
      <c r="B865" s="38">
        <v>144743.59</v>
      </c>
      <c r="C865" s="38">
        <v>144743.59</v>
      </c>
    </row>
    <row r="866" spans="1:3" x14ac:dyDescent="0.2">
      <c r="A866" s="42" t="s">
        <v>432</v>
      </c>
      <c r="B866" s="38">
        <v>455449.19999999995</v>
      </c>
      <c r="C866" s="38">
        <v>455449.19999999995</v>
      </c>
    </row>
    <row r="867" spans="1:3" x14ac:dyDescent="0.2">
      <c r="A867" s="37" t="s">
        <v>405</v>
      </c>
      <c r="B867" s="38">
        <v>3781020.7899999991</v>
      </c>
      <c r="C867" s="38">
        <v>3781020.7899999991</v>
      </c>
    </row>
    <row r="875" spans="1:3" x14ac:dyDescent="0.2">
      <c r="A875" t="s">
        <v>1585</v>
      </c>
    </row>
    <row r="877" spans="1:3" x14ac:dyDescent="0.2">
      <c r="A877" s="36" t="s">
        <v>406</v>
      </c>
      <c r="B877" s="36" t="s">
        <v>429</v>
      </c>
      <c r="C877" s="36"/>
    </row>
    <row r="878" spans="1:3" x14ac:dyDescent="0.2">
      <c r="A878" s="36" t="s">
        <v>404</v>
      </c>
      <c r="B878" s="36" t="s">
        <v>352</v>
      </c>
      <c r="C878" s="36" t="s">
        <v>405</v>
      </c>
    </row>
    <row r="879" spans="1:3" x14ac:dyDescent="0.2">
      <c r="A879" s="37" t="s">
        <v>408</v>
      </c>
      <c r="B879" s="38">
        <v>592670.26</v>
      </c>
      <c r="C879" s="38">
        <v>592670.26</v>
      </c>
    </row>
    <row r="880" spans="1:3" x14ac:dyDescent="0.2">
      <c r="A880" s="42" t="s">
        <v>409</v>
      </c>
      <c r="B880" s="38">
        <v>112149.20000000001</v>
      </c>
      <c r="C880" s="38">
        <v>112149.20000000001</v>
      </c>
    </row>
    <row r="881" spans="1:3" x14ac:dyDescent="0.2">
      <c r="A881" s="42" t="s">
        <v>410</v>
      </c>
      <c r="B881" s="38">
        <v>141320.56000000003</v>
      </c>
      <c r="C881" s="38">
        <v>141320.56000000003</v>
      </c>
    </row>
    <row r="882" spans="1:3" x14ac:dyDescent="0.2">
      <c r="A882" s="42" t="s">
        <v>411</v>
      </c>
      <c r="B882" s="38">
        <v>154647.35999999999</v>
      </c>
      <c r="C882" s="38">
        <v>154647.35999999999</v>
      </c>
    </row>
    <row r="883" spans="1:3" x14ac:dyDescent="0.2">
      <c r="A883" s="42" t="s">
        <v>432</v>
      </c>
      <c r="B883" s="38">
        <v>184553.13999999998</v>
      </c>
      <c r="C883" s="38">
        <v>184553.13999999998</v>
      </c>
    </row>
    <row r="884" spans="1:3" x14ac:dyDescent="0.2">
      <c r="A884" s="37" t="s">
        <v>412</v>
      </c>
      <c r="B884" s="38">
        <v>2314852.85</v>
      </c>
      <c r="C884" s="38">
        <v>2314852.85</v>
      </c>
    </row>
    <row r="885" spans="1:3" x14ac:dyDescent="0.2">
      <c r="A885" s="42" t="s">
        <v>413</v>
      </c>
      <c r="B885" s="38">
        <v>250287.84999999998</v>
      </c>
      <c r="C885" s="38">
        <v>250287.84999999998</v>
      </c>
    </row>
    <row r="886" spans="1:3" x14ac:dyDescent="0.2">
      <c r="A886" s="42" t="s">
        <v>414</v>
      </c>
      <c r="B886" s="38">
        <v>215689.42</v>
      </c>
      <c r="C886" s="38">
        <v>215689.42</v>
      </c>
    </row>
    <row r="887" spans="1:3" x14ac:dyDescent="0.2">
      <c r="A887" s="42" t="s">
        <v>433</v>
      </c>
      <c r="B887" s="38">
        <v>173589.56</v>
      </c>
      <c r="C887" s="38">
        <v>173589.56</v>
      </c>
    </row>
    <row r="888" spans="1:3" x14ac:dyDescent="0.2">
      <c r="A888" s="42" t="s">
        <v>434</v>
      </c>
      <c r="B888" s="38">
        <v>170988.49</v>
      </c>
      <c r="C888" s="38">
        <v>170988.49</v>
      </c>
    </row>
    <row r="889" spans="1:3" x14ac:dyDescent="0.2">
      <c r="A889" s="42" t="s">
        <v>415</v>
      </c>
      <c r="B889" s="38">
        <v>154197.07</v>
      </c>
      <c r="C889" s="38">
        <v>154197.07</v>
      </c>
    </row>
    <row r="890" spans="1:3" x14ac:dyDescent="0.2">
      <c r="A890" s="42" t="s">
        <v>416</v>
      </c>
      <c r="B890" s="38">
        <v>271730.40000000002</v>
      </c>
      <c r="C890" s="38">
        <v>271730.40000000002</v>
      </c>
    </row>
    <row r="891" spans="1:3" x14ac:dyDescent="0.2">
      <c r="A891" s="42" t="s">
        <v>417</v>
      </c>
      <c r="B891" s="38">
        <v>106159.94</v>
      </c>
      <c r="C891" s="38">
        <v>106159.94</v>
      </c>
    </row>
    <row r="892" spans="1:3" x14ac:dyDescent="0.2">
      <c r="A892" s="42" t="s">
        <v>435</v>
      </c>
      <c r="B892" s="38">
        <v>193822</v>
      </c>
      <c r="C892" s="38">
        <v>193822</v>
      </c>
    </row>
    <row r="893" spans="1:3" x14ac:dyDescent="0.2">
      <c r="A893" s="42" t="s">
        <v>409</v>
      </c>
      <c r="B893" s="38">
        <v>156265.26</v>
      </c>
      <c r="C893" s="38">
        <v>156265.26</v>
      </c>
    </row>
    <row r="894" spans="1:3" x14ac:dyDescent="0.2">
      <c r="A894" s="42" t="s">
        <v>410</v>
      </c>
      <c r="B894" s="38">
        <v>250624.3</v>
      </c>
      <c r="C894" s="38">
        <v>250624.3</v>
      </c>
    </row>
    <row r="895" spans="1:3" x14ac:dyDescent="0.2">
      <c r="A895" s="42" t="s">
        <v>411</v>
      </c>
      <c r="B895" s="38">
        <v>115977.84</v>
      </c>
      <c r="C895" s="38">
        <v>115977.84</v>
      </c>
    </row>
    <row r="896" spans="1:3" x14ac:dyDescent="0.2">
      <c r="A896" s="42" t="s">
        <v>432</v>
      </c>
      <c r="B896" s="38">
        <v>255520.71999999997</v>
      </c>
      <c r="C896" s="38">
        <v>255520.71999999997</v>
      </c>
    </row>
    <row r="897" spans="1:7" x14ac:dyDescent="0.2">
      <c r="A897" s="37" t="s">
        <v>405</v>
      </c>
      <c r="B897" s="38">
        <v>2907523.1099999994</v>
      </c>
      <c r="C897" s="38">
        <v>2907523.1099999994</v>
      </c>
    </row>
    <row r="901" spans="1:7" x14ac:dyDescent="0.2">
      <c r="A901" s="17" t="s">
        <v>436</v>
      </c>
      <c r="B901" s="17" t="s">
        <v>429</v>
      </c>
    </row>
    <row r="902" spans="1:7" x14ac:dyDescent="0.2">
      <c r="A902" s="17" t="s">
        <v>404</v>
      </c>
      <c r="B902" t="s">
        <v>341</v>
      </c>
      <c r="C902" t="s">
        <v>304</v>
      </c>
      <c r="D902" t="s">
        <v>305</v>
      </c>
      <c r="E902" t="s">
        <v>352</v>
      </c>
      <c r="F902" t="s">
        <v>359</v>
      </c>
      <c r="G902" t="s">
        <v>405</v>
      </c>
    </row>
    <row r="903" spans="1:7" x14ac:dyDescent="0.2">
      <c r="A903" s="18" t="s">
        <v>158</v>
      </c>
      <c r="B903" s="31">
        <v>0.3833875240726109</v>
      </c>
      <c r="C903" s="31">
        <v>0.33269898850708296</v>
      </c>
      <c r="D903" s="31">
        <v>0.25812182993041977</v>
      </c>
      <c r="E903" s="31">
        <v>0.38785196114594861</v>
      </c>
      <c r="F903" s="31">
        <v>0.39632889490709394</v>
      </c>
      <c r="G903" s="31">
        <v>0.35360044270504865</v>
      </c>
    </row>
    <row r="904" spans="1:7" x14ac:dyDescent="0.2">
      <c r="A904" s="18" t="s">
        <v>57</v>
      </c>
      <c r="B904" s="31">
        <v>0.24710370874818383</v>
      </c>
      <c r="C904" s="31">
        <v>0.23133386737281628</v>
      </c>
      <c r="D904" s="31">
        <v>0.25893823141135719</v>
      </c>
      <c r="E904" s="31">
        <v>0.20032460346735523</v>
      </c>
      <c r="F904" s="31">
        <v>0.22386433246284296</v>
      </c>
      <c r="G904" s="31">
        <v>0.23259646866333986</v>
      </c>
    </row>
    <row r="905" spans="1:7" x14ac:dyDescent="0.2">
      <c r="A905" s="18" t="s">
        <v>124</v>
      </c>
      <c r="B905" s="31">
        <v>0.28942906738714419</v>
      </c>
      <c r="C905" s="31">
        <v>0.36567731010123228</v>
      </c>
      <c r="D905" s="31">
        <v>0.35607015593516433</v>
      </c>
      <c r="E905" s="31">
        <v>0.35030616008852822</v>
      </c>
      <c r="F905" s="31">
        <v>0.33104641540660495</v>
      </c>
      <c r="G905" s="31">
        <v>0.33726814388979987</v>
      </c>
    </row>
    <row r="906" spans="1:7" x14ac:dyDescent="0.2">
      <c r="A906" s="18" t="s">
        <v>12</v>
      </c>
      <c r="B906" s="31">
        <v>8.0079699792061143E-2</v>
      </c>
      <c r="C906" s="31">
        <v>7.0289834018868472E-2</v>
      </c>
      <c r="D906" s="31">
        <v>0.12686978272305874</v>
      </c>
      <c r="E906" s="31">
        <v>6.1517275298167959E-2</v>
      </c>
      <c r="F906" s="31">
        <v>4.8760357223458103E-2</v>
      </c>
      <c r="G906" s="31">
        <v>7.6534944741811647E-2</v>
      </c>
    </row>
    <row r="907" spans="1:7" x14ac:dyDescent="0.2">
      <c r="A907" s="18" t="s">
        <v>405</v>
      </c>
      <c r="B907" s="31">
        <v>1</v>
      </c>
      <c r="C907" s="31">
        <v>1</v>
      </c>
      <c r="D907" s="31">
        <v>1</v>
      </c>
      <c r="E907" s="31">
        <v>1</v>
      </c>
      <c r="F907" s="31">
        <v>1</v>
      </c>
      <c r="G907" s="31">
        <v>1</v>
      </c>
    </row>
    <row r="909" spans="1:7" x14ac:dyDescent="0.2">
      <c r="A909" s="53" t="s">
        <v>436</v>
      </c>
      <c r="B909" s="53" t="s">
        <v>429</v>
      </c>
      <c r="C909" s="52"/>
      <c r="D909" s="52"/>
      <c r="E909" s="52"/>
      <c r="F909" s="52"/>
      <c r="G909" s="52"/>
    </row>
    <row r="910" spans="1:7" x14ac:dyDescent="0.2">
      <c r="A910" s="54" t="s">
        <v>404</v>
      </c>
      <c r="B910" s="51" t="s">
        <v>341</v>
      </c>
      <c r="C910" s="51" t="s">
        <v>304</v>
      </c>
      <c r="D910" s="51" t="s">
        <v>305</v>
      </c>
      <c r="E910" s="51" t="s">
        <v>352</v>
      </c>
      <c r="F910" s="51" t="s">
        <v>359</v>
      </c>
      <c r="G910" s="51" t="s">
        <v>405</v>
      </c>
    </row>
    <row r="911" spans="1:7" x14ac:dyDescent="0.2">
      <c r="A911" s="18" t="s">
        <v>158</v>
      </c>
      <c r="B911" s="44">
        <f>GETPIVOTDATA("Units Sold",$A$901,"Country","Canada","Discount Band","High")</f>
        <v>0.3833875240726109</v>
      </c>
      <c r="C911" s="44">
        <f>GETPIVOTDATA("Units Sold",$A$901,"Country","France","Discount Band","High")</f>
        <v>0.33269898850708296</v>
      </c>
      <c r="D911" s="44">
        <f>GETPIVOTDATA("Units Sold",$A$901,"Country","Germany","Discount Band","High")</f>
        <v>0.25812182993041977</v>
      </c>
      <c r="E911" s="44">
        <f>GETPIVOTDATA("Units Sold",$A$901,"Country","Mexico","Discount Band","High")</f>
        <v>0.38785196114594861</v>
      </c>
      <c r="F911" s="44">
        <f>GETPIVOTDATA("Units Sold",$A$901,"Country","United States of America","Discount Band","High")</f>
        <v>0.39632889490709394</v>
      </c>
      <c r="G911" s="44">
        <f>GETPIVOTDATA("Units Sold",$A$901,"Discount Band","High")</f>
        <v>0.35360044270504865</v>
      </c>
    </row>
    <row r="912" spans="1:7" x14ac:dyDescent="0.2">
      <c r="A912" s="18" t="s">
        <v>57</v>
      </c>
      <c r="B912" s="44">
        <f>GETPIVOTDATA("Units Sold",$A$901,"Country","Canada","Discount Band","Low")</f>
        <v>0.24710370874818383</v>
      </c>
      <c r="C912" s="44">
        <f>GETPIVOTDATA("Units Sold",$A$901,"Country","France","Discount Band","Low")</f>
        <v>0.23133386737281628</v>
      </c>
      <c r="D912" s="44">
        <f>GETPIVOTDATA("Units Sold",$A$901,"Country","Germany","Discount Band","Low")</f>
        <v>0.25893823141135719</v>
      </c>
      <c r="E912" s="44">
        <f>GETPIVOTDATA("Units Sold",$A$901,"Country","Mexico","Discount Band","Low")</f>
        <v>0.20032460346735523</v>
      </c>
      <c r="F912" s="44">
        <f>GETPIVOTDATA("Units Sold",$A$901,"Country","United States of America","Discount Band","Low")</f>
        <v>0.22386433246284296</v>
      </c>
      <c r="G912" s="44">
        <f>GETPIVOTDATA("Units Sold",$A$901,"Discount Band","Low")</f>
        <v>0.23259646866333986</v>
      </c>
    </row>
    <row r="913" spans="1:18" x14ac:dyDescent="0.2">
      <c r="A913" s="18" t="s">
        <v>124</v>
      </c>
      <c r="B913" s="44">
        <f>GETPIVOTDATA("Units Sold",$A$901,"Country","Canada","Discount Band","Medium")</f>
        <v>0.28942906738714419</v>
      </c>
      <c r="C913" s="44">
        <f>GETPIVOTDATA("Units Sold",$A$901,"Country","France","Discount Band","Medium")</f>
        <v>0.36567731010123228</v>
      </c>
      <c r="D913" s="44">
        <f>GETPIVOTDATA("Units Sold",$A$901,"Country","Germany","Discount Band","Medium")</f>
        <v>0.35607015593516433</v>
      </c>
      <c r="E913" s="44">
        <f>GETPIVOTDATA("Units Sold",$A$901,"Country","Mexico","Discount Band","Medium")</f>
        <v>0.35030616008852822</v>
      </c>
      <c r="F913" s="44">
        <f>GETPIVOTDATA("Units Sold",$A$901,"Country","United States of America","Discount Band","Medium")</f>
        <v>0.33104641540660495</v>
      </c>
      <c r="G913" s="44">
        <f>GETPIVOTDATA("Units Sold",$A$901,"Discount Band","Medium")</f>
        <v>0.33726814388979987</v>
      </c>
    </row>
    <row r="914" spans="1:18" x14ac:dyDescent="0.2">
      <c r="A914" s="18" t="s">
        <v>12</v>
      </c>
      <c r="B914" s="44">
        <f>GETPIVOTDATA("Units Sold",$A$901,"Country","Canada","Discount Band","None")</f>
        <v>8.0079699792061143E-2</v>
      </c>
      <c r="C914" s="44">
        <f>GETPIVOTDATA("Units Sold",$A$901,"Country","France","Discount Band","None")</f>
        <v>7.0289834018868472E-2</v>
      </c>
      <c r="D914" s="44">
        <f>GETPIVOTDATA("Units Sold",$A$901,"Country","Germany","Discount Band","None")</f>
        <v>0.12686978272305874</v>
      </c>
      <c r="E914" s="44">
        <f>GETPIVOTDATA("Units Sold",$A$901,"Country","Mexico","Discount Band","None")</f>
        <v>6.1517275298167959E-2</v>
      </c>
      <c r="F914" s="44">
        <f>GETPIVOTDATA("Units Sold",$A$901,"Country","United States of America","Discount Band","None")</f>
        <v>4.8760357223458103E-2</v>
      </c>
      <c r="G914" s="44">
        <f>GETPIVOTDATA("Units Sold",$A$901,"Discount Band","None")</f>
        <v>7.6534944741811647E-2</v>
      </c>
    </row>
    <row r="918" spans="1:18" x14ac:dyDescent="0.2">
      <c r="A918" s="17" t="s">
        <v>403</v>
      </c>
      <c r="B918" s="17" t="s">
        <v>429</v>
      </c>
    </row>
    <row r="919" spans="1:18" x14ac:dyDescent="0.2">
      <c r="A919" s="17" t="s">
        <v>404</v>
      </c>
      <c r="B919" t="s">
        <v>392</v>
      </c>
      <c r="C919" t="s">
        <v>393</v>
      </c>
      <c r="D919" t="s">
        <v>388</v>
      </c>
      <c r="E919" t="s">
        <v>390</v>
      </c>
      <c r="F919" t="s">
        <v>394</v>
      </c>
      <c r="G919" t="s">
        <v>405</v>
      </c>
      <c r="I919" t="s">
        <v>1591</v>
      </c>
      <c r="J919" s="51" t="s">
        <v>392</v>
      </c>
      <c r="K919" s="51" t="s">
        <v>393</v>
      </c>
      <c r="L919" s="51" t="s">
        <v>388</v>
      </c>
      <c r="M919" s="51" t="s">
        <v>390</v>
      </c>
      <c r="N919" s="51" t="s">
        <v>394</v>
      </c>
      <c r="O919" s="55" t="s">
        <v>1594</v>
      </c>
      <c r="P919" s="55" t="s">
        <v>1595</v>
      </c>
      <c r="Q919" s="55" t="s">
        <v>1592</v>
      </c>
      <c r="R919" s="55" t="s">
        <v>1593</v>
      </c>
    </row>
    <row r="920" spans="1:18" x14ac:dyDescent="0.2">
      <c r="A920" s="18" t="s">
        <v>341</v>
      </c>
      <c r="B920" s="48">
        <v>491164.1399999999</v>
      </c>
      <c r="C920" s="48">
        <v>3967491.25</v>
      </c>
      <c r="D920" s="48">
        <v>10741236.52</v>
      </c>
      <c r="E920" s="48">
        <v>510213.98000000004</v>
      </c>
      <c r="F920" s="48">
        <v>9177549</v>
      </c>
      <c r="G920" s="48">
        <v>24887654.890000001</v>
      </c>
      <c r="H920" s="18" t="s">
        <v>341</v>
      </c>
      <c r="I920">
        <f>GETPIVOTDATA("Sales",$A$918,"Country","Canada")</f>
        <v>24887654.890000001</v>
      </c>
      <c r="J920">
        <f>GETPIVOTDATA("Sales",$A$918,"Segment","Channel Partners","Country","Canada")</f>
        <v>491164.1399999999</v>
      </c>
      <c r="K920">
        <f>GETPIVOTDATA("Sales",$A$918,"Segment","Enterprise","Country","Canada")</f>
        <v>3967491.25</v>
      </c>
      <c r="L920">
        <f>GETPIVOTDATA("Sales",$A$918,"Segment","Government","Country","Canada")</f>
        <v>10741236.52</v>
      </c>
      <c r="M920">
        <f>GETPIVOTDATA("Sales",$A$918,"Segment","Midmarket","Country","Canada")</f>
        <v>510213.98000000004</v>
      </c>
      <c r="N920">
        <f>GETPIVOTDATA("Sales",$A$918,"Segment","Small Business","Country","Canada")</f>
        <v>9177549</v>
      </c>
      <c r="O920" t="str">
        <f>INDEX(H$920:H$924,MATCH(MAX(I$920:I$924),I$920:I$924,0))</f>
        <v>United States of America</v>
      </c>
      <c r="P920" t="str">
        <f>INDEX(J919:N919,0,MATCH(LARGE((J920:N920),1),J920:N920,0))</f>
        <v>Government</v>
      </c>
      <c r="Q920" t="str">
        <f>INDEX($J$919:$N$919,0,MATCH(LARGE(($J920:$N920),2),$J920:$N920,0))</f>
        <v>Small Business</v>
      </c>
      <c r="R920" t="str">
        <f>INDEX($J$919:$N$919,0,MATCH(SMALL(($J920:$N920),1),$J920:$N920,0))</f>
        <v>Channel Partners</v>
      </c>
    </row>
    <row r="921" spans="1:18" x14ac:dyDescent="0.2">
      <c r="A921" s="18" t="s">
        <v>304</v>
      </c>
      <c r="B921" s="48">
        <v>372090.36000000004</v>
      </c>
      <c r="C921" s="48">
        <v>3890890.63</v>
      </c>
      <c r="D921" s="48">
        <v>12127782.719999995</v>
      </c>
      <c r="E921" s="48">
        <v>593802.07999999996</v>
      </c>
      <c r="F921" s="48">
        <v>7369606.5</v>
      </c>
      <c r="G921" s="48">
        <v>24354172.289999995</v>
      </c>
      <c r="H921" s="18" t="s">
        <v>304</v>
      </c>
      <c r="I921">
        <f>GETPIVOTDATA("Sales",$A$918,"Country","France")</f>
        <v>24354172.289999995</v>
      </c>
      <c r="J921">
        <f>GETPIVOTDATA("Sales",$A$918,"Segment","Channel Partners","Country","France")</f>
        <v>372090.36000000004</v>
      </c>
      <c r="K921">
        <f>GETPIVOTDATA("Sales",$A$918,"Segment","Enterprise","Country","France")</f>
        <v>3890890.63</v>
      </c>
      <c r="L921">
        <f>GETPIVOTDATA("Sales",$A$918,"Segment","Government","Country","France")</f>
        <v>12127782.719999995</v>
      </c>
      <c r="M921">
        <f>GETPIVOTDATA("Sales",$A$918,"Segment","Midmarket","Country","France")</f>
        <v>593802.07999999996</v>
      </c>
      <c r="N921">
        <f>GETPIVOTDATA("Sales",$A$918,"Segment","Small Business","Country","France")</f>
        <v>7369606.5</v>
      </c>
      <c r="P921" t="str">
        <f>INDEX($J$919:$N$919,0,MATCH(LARGE(($J921:$N921),1),$J921:$N921,0))</f>
        <v>Government</v>
      </c>
      <c r="Q921" t="str">
        <f>INDEX($J$919:$N$919,0,MATCH(LARGE(($J921:$N921),2),$J921:$N921,0))</f>
        <v>Small Business</v>
      </c>
      <c r="R921" t="str">
        <f>INDEX($J$919:$N$919,0,MATCH(SMALL(($J921:$N921),1),$J921:$N921,0))</f>
        <v>Channel Partners</v>
      </c>
    </row>
    <row r="922" spans="1:18" x14ac:dyDescent="0.2">
      <c r="A922" s="18" t="s">
        <v>305</v>
      </c>
      <c r="B922" s="48">
        <v>336425.87999999995</v>
      </c>
      <c r="C922" s="48">
        <v>4086826.25</v>
      </c>
      <c r="D922" s="48">
        <v>11452895.939999998</v>
      </c>
      <c r="E922" s="48">
        <v>301344.75</v>
      </c>
      <c r="F922" s="48">
        <v>7327848</v>
      </c>
      <c r="G922" s="48">
        <v>23505340.819999997</v>
      </c>
      <c r="H922" s="18" t="s">
        <v>305</v>
      </c>
      <c r="I922">
        <f>GETPIVOTDATA("Sales",$A$918,"Country","Germany")</f>
        <v>23505340.819999997</v>
      </c>
      <c r="J922">
        <f>GETPIVOTDATA("Sales",$A$918,"Segment","Channel Partners","Country","Germany")</f>
        <v>336425.87999999995</v>
      </c>
      <c r="K922">
        <f>GETPIVOTDATA("Sales",$A$918,"Segment","Enterprise","Country","Germany")</f>
        <v>4086826.25</v>
      </c>
      <c r="L922">
        <f>GETPIVOTDATA("Sales",$A$918,"Segment","Government","Country","Germany")</f>
        <v>11452895.939999998</v>
      </c>
      <c r="M922">
        <f>GETPIVOTDATA("Sales",$A$918,"Segment","Midmarket","Country","Germany")</f>
        <v>301344.75</v>
      </c>
      <c r="N922">
        <f>GETPIVOTDATA("Sales",$A$918,"Segment","Small Business","Country","Germany")</f>
        <v>7327848</v>
      </c>
      <c r="P922" t="str">
        <f>INDEX($J$919:$N$919,0,MATCH(LARGE(($J922:$N922),1),$J922:$N922,0))</f>
        <v>Government</v>
      </c>
      <c r="Q922" t="str">
        <f>INDEX($J$919:$N$919,0,MATCH(LARGE(($J922:$N922),2),$J922:$N922,0))</f>
        <v>Small Business</v>
      </c>
      <c r="R922" t="str">
        <f>INDEX($J$919:$N$919,0,MATCH(SMALL(($J922:$N922),1),$J922:$N922,0))</f>
        <v>Midmarket</v>
      </c>
    </row>
    <row r="923" spans="1:18" x14ac:dyDescent="0.2">
      <c r="A923" s="18" t="s">
        <v>352</v>
      </c>
      <c r="B923" s="48">
        <v>234379.08000000002</v>
      </c>
      <c r="C923" s="48">
        <v>3315881.25</v>
      </c>
      <c r="D923" s="48">
        <v>9791599.3799999971</v>
      </c>
      <c r="E923" s="48">
        <v>511136.40000000008</v>
      </c>
      <c r="F923" s="48">
        <v>7096356</v>
      </c>
      <c r="G923" s="48">
        <v>20949352.109999999</v>
      </c>
      <c r="H923" s="18" t="s">
        <v>352</v>
      </c>
      <c r="I923">
        <f>GETPIVOTDATA("Sales",$A$918,"Country","Mexico")</f>
        <v>20949352.109999999</v>
      </c>
      <c r="J923">
        <f>GETPIVOTDATA("Sales",$A$918,"Segment","Channel Partners","Country","Mexico")</f>
        <v>234379.08000000002</v>
      </c>
      <c r="K923">
        <f>GETPIVOTDATA("Sales",$A$918,"Segment","Enterprise","Country","Mexico")</f>
        <v>3315881.25</v>
      </c>
      <c r="L923">
        <f>GETPIVOTDATA("Sales",$A$918,"Segment","Government","Country","Mexico")</f>
        <v>9791599.3799999971</v>
      </c>
      <c r="M923">
        <f>GETPIVOTDATA("Sales",$A$918,"Segment","Midmarket","Country","Mexico")</f>
        <v>511136.40000000008</v>
      </c>
      <c r="N923">
        <f>GETPIVOTDATA("Sales",$A$918,"Segment","Small Business","Country","Mexico")</f>
        <v>7096356</v>
      </c>
      <c r="P923" t="str">
        <f>INDEX($J$919:$N$919,0,MATCH(LARGE(($J923:$N923),1),$J923:$N923,0))</f>
        <v>Government</v>
      </c>
      <c r="Q923" t="str">
        <f>INDEX($J$919:$N$919,0,MATCH(LARGE(($J923:$N923),2),$J923:$N923,0))</f>
        <v>Small Business</v>
      </c>
      <c r="R923" t="str">
        <f>INDEX($J$919:$N$919,0,MATCH(SMALL(($J923:$N923),1),$J923:$N923,0))</f>
        <v>Channel Partners</v>
      </c>
    </row>
    <row r="924" spans="1:18" x14ac:dyDescent="0.2">
      <c r="A924" s="18" t="s">
        <v>359</v>
      </c>
      <c r="B924" s="48">
        <v>366534.17999999993</v>
      </c>
      <c r="C924" s="48">
        <v>4350605</v>
      </c>
      <c r="D924" s="48">
        <v>8390746.120000001</v>
      </c>
      <c r="E924" s="48">
        <v>465385.87999999989</v>
      </c>
      <c r="F924" s="48">
        <v>11456559</v>
      </c>
      <c r="G924" s="48">
        <v>25029830.18</v>
      </c>
      <c r="H924" s="18" t="s">
        <v>359</v>
      </c>
      <c r="I924">
        <f>GETPIVOTDATA("Sales",$A$918,"Country","United States of America")</f>
        <v>25029830.18</v>
      </c>
      <c r="J924">
        <f>GETPIVOTDATA("Sales",$A$918,"Segment","Channel Partners","Country","United States of America")</f>
        <v>366534.17999999993</v>
      </c>
      <c r="K924">
        <f>GETPIVOTDATA("Sales",$A$918,"Segment","Enterprise","Country","United States of America")</f>
        <v>4350605</v>
      </c>
      <c r="L924">
        <f>GETPIVOTDATA("Sales",$A$918,"Segment","Government","Country","United States of America")</f>
        <v>8390746.120000001</v>
      </c>
      <c r="M924">
        <f>GETPIVOTDATA("Sales",$A$918,"Segment","Midmarket","Country","United States of America")</f>
        <v>465385.87999999989</v>
      </c>
      <c r="N924">
        <f>GETPIVOTDATA("Sales",$A$918,"Segment","Small Business","Country","United States of America")</f>
        <v>11456559</v>
      </c>
      <c r="P924" t="str">
        <f>INDEX($J$919:$N$919,0,MATCH(LARGE(($J924:$N924),1),$J924:$N924,0))</f>
        <v>Small Business</v>
      </c>
      <c r="Q924" t="str">
        <f>INDEX($J$919:$N$919,0,MATCH(LARGE(($J924:$N924),2),$J924:$N924,0))</f>
        <v>Government</v>
      </c>
      <c r="R924" t="str">
        <f>INDEX($J$919:$N$919,0,MATCH(SMALL(($J924:$N924),1),$J924:$N924,0))</f>
        <v>Channel Partners</v>
      </c>
    </row>
    <row r="925" spans="1:18" x14ac:dyDescent="0.2">
      <c r="A925" s="18" t="s">
        <v>405</v>
      </c>
      <c r="B925" s="48">
        <v>1800593.64</v>
      </c>
      <c r="C925" s="48">
        <v>19611694.379999999</v>
      </c>
      <c r="D925" s="48">
        <v>52504260.679999992</v>
      </c>
      <c r="E925" s="48">
        <v>2381883.09</v>
      </c>
      <c r="F925" s="48">
        <v>42427918.5</v>
      </c>
      <c r="G925" s="48">
        <v>118726350.28999999</v>
      </c>
      <c r="O925" t="str">
        <f>O920</f>
        <v>United States of America</v>
      </c>
      <c r="P925" t="str">
        <f>IF($O$920=$H$920,$P$920,(IF($O$920=$H$921,$P$921,(IF($O$920=$H$922,$P$922,(IF($O$920=$H$923,$P$923,(IF($O$920=$H$924,$P$924,"NA")))))))))</f>
        <v>Small Business</v>
      </c>
      <c r="Q925" t="str">
        <f>IF($O$920=$H$920,$Q$920,(IF($O$920=$H$921,$Q$921,(IF($O$920=$H$922,$Q$922,(IF($O$920=$H$923,$Q$923,(IF($O$920=$H$924,$Q$924,"NA")))))))))</f>
        <v>Government</v>
      </c>
      <c r="R925" t="str">
        <f>IF($O$920=$H$920,$R$920,(IF($O$920=$H$921,$R$921,(IF($O$920=$H$922,$R$922,(IF($O$920=$H$923,$R$923,(IF($O$920=$H$924,$R$924,"NA")))))))))</f>
        <v>Channel Partners</v>
      </c>
    </row>
    <row r="927" spans="1:18" x14ac:dyDescent="0.2">
      <c r="H927" s="48"/>
    </row>
    <row r="929" spans="1:18" x14ac:dyDescent="0.2">
      <c r="A929" s="18" t="s">
        <v>1596</v>
      </c>
      <c r="B929" t="s">
        <v>1586</v>
      </c>
      <c r="C929" t="s">
        <v>1597</v>
      </c>
      <c r="D929" t="s">
        <v>1592</v>
      </c>
      <c r="E929" t="s">
        <v>1598</v>
      </c>
    </row>
    <row r="930" spans="1:18" x14ac:dyDescent="0.2">
      <c r="A930" t="str">
        <f>$E$930</f>
        <v>Channel Partners</v>
      </c>
      <c r="B930" s="49">
        <f>IFERROR(IF(O920=H920,I920,(IF(O920=H921,I921,(IF(O920=H922,I922,(IF(O920=H923,I923,(IF(O920=H924,I924,"NA"))))))))),"")</f>
        <v>25029830.18</v>
      </c>
      <c r="C930" t="str">
        <f>IFERROR($P$925,"")</f>
        <v>Small Business</v>
      </c>
      <c r="D930" t="str">
        <f>IFERROR($Q$925,"")</f>
        <v>Government</v>
      </c>
      <c r="E930" t="str">
        <f>IFERROR($R$925,"")</f>
        <v>Channel Partners</v>
      </c>
    </row>
    <row r="933" spans="1:18" x14ac:dyDescent="0.2">
      <c r="A933" s="17" t="s">
        <v>406</v>
      </c>
      <c r="B933" s="17" t="s">
        <v>429</v>
      </c>
    </row>
    <row r="934" spans="1:18" x14ac:dyDescent="0.2">
      <c r="A934" s="17" t="s">
        <v>404</v>
      </c>
      <c r="B934" t="s">
        <v>392</v>
      </c>
      <c r="C934" t="s">
        <v>393</v>
      </c>
      <c r="D934" t="s">
        <v>388</v>
      </c>
      <c r="E934" t="s">
        <v>390</v>
      </c>
      <c r="F934" t="s">
        <v>394</v>
      </c>
      <c r="G934" t="s">
        <v>405</v>
      </c>
      <c r="H934" s="17"/>
      <c r="I934" s="17" t="s">
        <v>1591</v>
      </c>
      <c r="J934" s="56" t="s">
        <v>392</v>
      </c>
      <c r="K934" s="56" t="s">
        <v>393</v>
      </c>
      <c r="L934" s="56" t="s">
        <v>388</v>
      </c>
      <c r="M934" s="56" t="s">
        <v>390</v>
      </c>
      <c r="N934" s="56" t="s">
        <v>394</v>
      </c>
      <c r="O934" s="57" t="s">
        <v>1594</v>
      </c>
      <c r="P934" s="57" t="s">
        <v>1595</v>
      </c>
      <c r="Q934" s="57" t="s">
        <v>1592</v>
      </c>
      <c r="R934" s="57" t="s">
        <v>1593</v>
      </c>
    </row>
    <row r="935" spans="1:18" x14ac:dyDescent="0.2">
      <c r="A935" s="18" t="s">
        <v>341</v>
      </c>
      <c r="B935" s="19">
        <v>358978.1399999999</v>
      </c>
      <c r="C935" s="19">
        <v>-121508.75</v>
      </c>
      <c r="D935" s="19">
        <v>2258471.5200000005</v>
      </c>
      <c r="E935" s="19">
        <v>132488.97999999998</v>
      </c>
      <c r="F935" s="19">
        <v>900799</v>
      </c>
      <c r="G935" s="19">
        <v>3529228.89</v>
      </c>
      <c r="H935" s="18" t="s">
        <v>341</v>
      </c>
      <c r="I935">
        <f>GETPIVOTDATA("Profit",$A$933,"Country","Canada")</f>
        <v>3529228.89</v>
      </c>
      <c r="J935">
        <f>GETPIVOTDATA("Profit",$A$933,"Segment","Channel Partners","Country","Canada")</f>
        <v>358978.1399999999</v>
      </c>
      <c r="K935">
        <f>GETPIVOTDATA("Profit",$A$933,"Segment","Enterprise","Country","Canada")</f>
        <v>-121508.75</v>
      </c>
      <c r="L935">
        <f>GETPIVOTDATA("Profit",$A$933,"Segment","Government","Country","Canada")</f>
        <v>2258471.5200000005</v>
      </c>
      <c r="M935">
        <f>GETPIVOTDATA("Profit",$A$933,"Segment","Midmarket","Country","Canada")</f>
        <v>132488.97999999998</v>
      </c>
      <c r="N935">
        <f>GETPIVOTDATA("Profit",$A$933,"Segment","Small Business","Country","Canada")</f>
        <v>900799</v>
      </c>
      <c r="O935" t="str">
        <f>INDEX($H$935:$H$939,MATCH(MAX($I$935:$I$939),$I$935:$I$939,0))</f>
        <v>France</v>
      </c>
      <c r="P935" t="str">
        <f>INDEX($J$934:$N$934,0,MATCH(LARGE(($J935:$N935),1),J935:N935,0))</f>
        <v>Government</v>
      </c>
      <c r="Q935" t="str">
        <f>INDEX($J$934:$N$934,0,MATCH(LARGE(($J935:N935),2),$J935:$N935,0))</f>
        <v>Small Business</v>
      </c>
      <c r="R935" t="str">
        <f>INDEX($J$934:$N$934,0,MATCH(SMALL(($J935:$N935),1),$J935:$N935,0))</f>
        <v>Enterprise</v>
      </c>
    </row>
    <row r="936" spans="1:18" x14ac:dyDescent="0.2">
      <c r="A936" s="18" t="s">
        <v>304</v>
      </c>
      <c r="B936" s="19">
        <v>271581.36</v>
      </c>
      <c r="C936" s="19">
        <v>-95749.37</v>
      </c>
      <c r="D936" s="19">
        <v>2709915.22</v>
      </c>
      <c r="E936" s="19">
        <v>164542.07999999999</v>
      </c>
      <c r="F936" s="19">
        <v>730731.5</v>
      </c>
      <c r="G936" s="19">
        <v>3781020.79</v>
      </c>
      <c r="H936" s="18" t="s">
        <v>304</v>
      </c>
      <c r="I936">
        <f>GETPIVOTDATA("Profit",$A$933,"Country","France")</f>
        <v>3781020.79</v>
      </c>
      <c r="J936">
        <f>GETPIVOTDATA("Profit",$A$933,"Segment","Channel Partners","Country","France")</f>
        <v>271581.36</v>
      </c>
      <c r="K936">
        <f>GETPIVOTDATA("Profit",$A$933,"Segment","Enterprise","Country","France")</f>
        <v>-95749.37</v>
      </c>
      <c r="L936">
        <f>GETPIVOTDATA("Profit",$A$933,"Segment","Government","Country","France")</f>
        <v>2709915.22</v>
      </c>
      <c r="M936">
        <f>GETPIVOTDATA("Profit",$A$933,"Segment","Midmarket","Country","France")</f>
        <v>164542.07999999999</v>
      </c>
      <c r="N936">
        <f>GETPIVOTDATA("Profit",$A$933,"Segment","Small Business","Country","France")</f>
        <v>730731.5</v>
      </c>
      <c r="P936" t="str">
        <f>INDEX($J$934:$N$934,0,MATCH(LARGE(($J936:$N936),1),J936:N936,0))</f>
        <v>Government</v>
      </c>
      <c r="Q936" t="str">
        <f>INDEX($J$934:$N$934,0,MATCH(LARGE(($J936:$N936),2),$J936:$N936,0))</f>
        <v>Small Business</v>
      </c>
      <c r="R936" t="str">
        <f>INDEX($J$934:$N$934,0,MATCH(SMALL(($J936:$N936),1),$J936:$N936,0))</f>
        <v>Enterprise</v>
      </c>
    </row>
    <row r="937" spans="1:18" x14ac:dyDescent="0.2">
      <c r="A937" s="18" t="s">
        <v>305</v>
      </c>
      <c r="B937" s="19">
        <v>247358.87999999998</v>
      </c>
      <c r="C937" s="19">
        <v>-101473.75</v>
      </c>
      <c r="D937" s="19">
        <v>2677175.9400000018</v>
      </c>
      <c r="E937" s="19">
        <v>85354.75</v>
      </c>
      <c r="F937" s="19">
        <v>771973</v>
      </c>
      <c r="G937" s="19">
        <v>3680388.8200000017</v>
      </c>
      <c r="H937" s="18" t="s">
        <v>305</v>
      </c>
      <c r="I937">
        <f>GETPIVOTDATA("Profit",$A$933,"Country","Germany")</f>
        <v>3680388.8200000017</v>
      </c>
      <c r="J937">
        <f>GETPIVOTDATA("Profit",$A$933,"Segment","Channel Partners","Country","Germany")</f>
        <v>247358.87999999998</v>
      </c>
      <c r="K937">
        <f>GETPIVOTDATA("Profit",$A$933,"Segment","Enterprise","Country","Germany")</f>
        <v>-101473.75</v>
      </c>
      <c r="L937">
        <f>GETPIVOTDATA("Profit",$A$933,"Segment","Government","Country","Germany")</f>
        <v>2677175.9400000018</v>
      </c>
      <c r="M937">
        <f>GETPIVOTDATA("Profit",$A$933,"Segment","Midmarket","Country","Germany")</f>
        <v>85354.75</v>
      </c>
      <c r="N937">
        <f>GETPIVOTDATA("Profit",$A$933,"Segment","Small Business","Country","Germany")</f>
        <v>771973</v>
      </c>
      <c r="P937" t="str">
        <f>INDEX($J$934:$N$934,0,MATCH(LARGE(($J937:$N937),1),J937:N937,0))</f>
        <v>Government</v>
      </c>
      <c r="Q937" t="str">
        <f>INDEX($J$934:$N$934,0,MATCH(LARGE(($J937:$N937),2),$J937:$N937,0))</f>
        <v>Small Business</v>
      </c>
      <c r="R937" t="str">
        <f>INDEX($J$934:$N$934,0,MATCH(SMALL(($J937:$N937),1),$J937:$N937,0))</f>
        <v>Enterprise</v>
      </c>
    </row>
    <row r="938" spans="1:18" x14ac:dyDescent="0.2">
      <c r="A938" s="18" t="s">
        <v>352</v>
      </c>
      <c r="B938" s="19">
        <v>170890.08</v>
      </c>
      <c r="C938" s="19">
        <v>-120678.75</v>
      </c>
      <c r="D938" s="19">
        <v>2039159.3800000001</v>
      </c>
      <c r="E938" s="19">
        <v>150546.40000000002</v>
      </c>
      <c r="F938" s="19">
        <v>667606</v>
      </c>
      <c r="G938" s="19">
        <v>2907523.1100000003</v>
      </c>
      <c r="H938" s="18" t="s">
        <v>352</v>
      </c>
      <c r="I938">
        <f>GETPIVOTDATA("Profit",$A$933,"Country","Mexico")</f>
        <v>2907523.1100000003</v>
      </c>
      <c r="J938">
        <f>GETPIVOTDATA("Profit",$A$933,"Segment","Channel Partners","Country","Mexico")</f>
        <v>170890.08</v>
      </c>
      <c r="K938">
        <f>GETPIVOTDATA("Profit",$A$933,"Segment","Enterprise","Country","Mexico")</f>
        <v>-120678.75</v>
      </c>
      <c r="L938">
        <f>GETPIVOTDATA("Profit",$A$933,"Segment","Government","Country","Mexico")</f>
        <v>2039159.3800000001</v>
      </c>
      <c r="M938">
        <f>GETPIVOTDATA("Profit",$A$933,"Segment","Midmarket","Country","Mexico")</f>
        <v>150546.40000000002</v>
      </c>
      <c r="N938">
        <f>GETPIVOTDATA("Profit",$A$933,"Segment","Small Business","Country","Mexico")</f>
        <v>667606</v>
      </c>
      <c r="P938" t="str">
        <f>INDEX($J$934:$N$934,0,MATCH(LARGE(($J938:$N938),1),J938:N938,0))</f>
        <v>Government</v>
      </c>
      <c r="Q938" t="str">
        <f>INDEX($J$934:$N$934,0,MATCH(LARGE(($J938:$N938),2),$J938:$N938,0))</f>
        <v>Small Business</v>
      </c>
      <c r="R938" t="str">
        <f>INDEX($J$934:$N$934,0,MATCH(SMALL(($J938:$N938),1),$J938:$N938,0))</f>
        <v>Enterprise</v>
      </c>
    </row>
    <row r="939" spans="1:18" x14ac:dyDescent="0.2">
      <c r="A939" s="18" t="s">
        <v>359</v>
      </c>
      <c r="B939" s="19">
        <v>267994.67999999993</v>
      </c>
      <c r="C939" s="19">
        <v>-175135</v>
      </c>
      <c r="D939" s="19">
        <v>1703451.1199999994</v>
      </c>
      <c r="E939" s="19">
        <v>127170.88000000002</v>
      </c>
      <c r="F939" s="19">
        <v>1072059</v>
      </c>
      <c r="G939" s="19">
        <v>2995540.6799999997</v>
      </c>
      <c r="H939" s="18" t="s">
        <v>359</v>
      </c>
      <c r="I939">
        <f>GETPIVOTDATA("Profit",$A$933,"Country","United States of America")</f>
        <v>2995540.6799999997</v>
      </c>
      <c r="J939">
        <f>GETPIVOTDATA("Profit",$A$933,"Segment","Channel Partners","Country","United States of America")</f>
        <v>267994.67999999993</v>
      </c>
      <c r="K939">
        <f>GETPIVOTDATA("Profit",$A$933,"Segment","Enterprise","Country","United States of America")</f>
        <v>-175135</v>
      </c>
      <c r="L939">
        <f>GETPIVOTDATA("Profit",$A$933,"Segment","Government","Country","United States of America")</f>
        <v>1703451.1199999994</v>
      </c>
      <c r="M939">
        <f>GETPIVOTDATA("Profit",$A$933,"Segment","Midmarket","Country","United States of America")</f>
        <v>127170.88000000002</v>
      </c>
      <c r="N939">
        <f>GETPIVOTDATA("Profit",$A$933,"Segment","Small Business","Country","United States of America")</f>
        <v>1072059</v>
      </c>
      <c r="P939" t="str">
        <f>INDEX($J$934:$N$934,0,MATCH(LARGE(($J939:$N939),1),J939:N939,0))</f>
        <v>Government</v>
      </c>
      <c r="Q939" t="str">
        <f>INDEX($J$934:$N$934,0,MATCH(LARGE(($J939:$N939),2),$J939:$N939,0))</f>
        <v>Small Business</v>
      </c>
      <c r="R939" t="str">
        <f>INDEX($J$934:$N$934,0,MATCH(SMALL(($J939:$N939),1),$J939:$N939,0))</f>
        <v>Enterprise</v>
      </c>
    </row>
    <row r="940" spans="1:18" x14ac:dyDescent="0.2">
      <c r="A940" s="18" t="s">
        <v>405</v>
      </c>
      <c r="B940" s="19">
        <v>1316803.1399999999</v>
      </c>
      <c r="C940" s="19">
        <v>-614545.62</v>
      </c>
      <c r="D940" s="19">
        <v>11388173.180000002</v>
      </c>
      <c r="E940" s="19">
        <v>660103.09</v>
      </c>
      <c r="F940" s="19">
        <v>4143168.5</v>
      </c>
      <c r="G940" s="19">
        <v>16893702.290000003</v>
      </c>
      <c r="O940" t="str">
        <f>O935</f>
        <v>France</v>
      </c>
      <c r="P940" t="str">
        <f>IF($O$935=$H$935,$P$935,(IF($O$935=$H$936,$P$936,(IF($O$935=$H$937,$P$937,(IF($O$935=$H$938,$P$938,(IF($O$935=$H$939,$P$939,"NA")))))))))</f>
        <v>Government</v>
      </c>
      <c r="Q940" t="str">
        <f>IF($O$935=$H$935,$Q$935,(IF($O$935=$H$936,$Q$936,(IF($O$935=$H$937,$Q$937,(IF($O$935=$H$938,$Q$938,(IF($O$935=$H$939,$Q$939,"NA")))))))))</f>
        <v>Small Business</v>
      </c>
      <c r="R940" t="str">
        <f>IF($O$935=$H$935,$R$935,(IF($O$935=$H$936,$R$936,(IF($O$935=$H$937,$R$937,(IF($O$935=$H$938,$R$938,(IF($O$935=$H$939,$R$939,"NA")))))))))</f>
        <v>Enterprise</v>
      </c>
    </row>
    <row r="942" spans="1:18" x14ac:dyDescent="0.2">
      <c r="A942" s="18" t="s">
        <v>1599</v>
      </c>
      <c r="B942" t="s">
        <v>1600</v>
      </c>
      <c r="C942" t="s">
        <v>1601</v>
      </c>
      <c r="D942" t="s">
        <v>1602</v>
      </c>
      <c r="E942" t="s">
        <v>1603</v>
      </c>
    </row>
    <row r="943" spans="1:18" x14ac:dyDescent="0.2">
      <c r="A943" t="str">
        <f>O940</f>
        <v>France</v>
      </c>
      <c r="B943" s="49">
        <f>IFERROR(IF(O935=H935,I935,(IF(O935=H936,I936,(IF(O935=H937,I937,(IF(O935=H938,I938,(IF(O935=H939,I939,"NA"))))))))),"")</f>
        <v>3781020.79</v>
      </c>
      <c r="C943" t="str">
        <f>IFERROR(P940,"")</f>
        <v>Government</v>
      </c>
      <c r="D943" t="str">
        <f>IFERROR(Q940,"")</f>
        <v>Small Business</v>
      </c>
      <c r="E943" t="str">
        <f>IFERROR(R940,"")</f>
        <v>Enterprise</v>
      </c>
    </row>
    <row r="946" spans="1:8" x14ac:dyDescent="0.2">
      <c r="A946" s="17" t="s">
        <v>436</v>
      </c>
      <c r="B946" s="17" t="s">
        <v>429</v>
      </c>
    </row>
    <row r="947" spans="1:8" x14ac:dyDescent="0.2">
      <c r="A947" s="17" t="s">
        <v>404</v>
      </c>
      <c r="B947" t="s">
        <v>398</v>
      </c>
      <c r="C947" t="s">
        <v>389</v>
      </c>
      <c r="D947" t="s">
        <v>391</v>
      </c>
      <c r="E947" t="s">
        <v>395</v>
      </c>
      <c r="F947" t="s">
        <v>396</v>
      </c>
      <c r="G947" t="s">
        <v>397</v>
      </c>
      <c r="H947" t="s">
        <v>405</v>
      </c>
    </row>
    <row r="948" spans="1:8" x14ac:dyDescent="0.2">
      <c r="A948" s="18" t="s">
        <v>408</v>
      </c>
      <c r="B948" s="19">
        <v>33688</v>
      </c>
      <c r="C948" s="19">
        <v>31404</v>
      </c>
      <c r="D948" s="19">
        <v>36280</v>
      </c>
      <c r="E948" s="19">
        <v>82247</v>
      </c>
      <c r="F948" s="19">
        <v>39471</v>
      </c>
      <c r="G948" s="19">
        <v>41584</v>
      </c>
      <c r="H948" s="19">
        <v>264674</v>
      </c>
    </row>
    <row r="949" spans="1:8" x14ac:dyDescent="0.2">
      <c r="A949" s="21" t="s">
        <v>409</v>
      </c>
      <c r="B949" s="19">
        <v>6691</v>
      </c>
      <c r="C949" s="19">
        <v>6045</v>
      </c>
      <c r="D949" s="19">
        <v>6620</v>
      </c>
      <c r="E949" s="19">
        <v>15790</v>
      </c>
      <c r="F949" s="19">
        <v>7502</v>
      </c>
      <c r="G949" s="19">
        <v>7953</v>
      </c>
      <c r="H949" s="19">
        <v>50601</v>
      </c>
    </row>
    <row r="950" spans="1:8" x14ac:dyDescent="0.2">
      <c r="A950" s="21" t="s">
        <v>410</v>
      </c>
      <c r="B950" s="19">
        <v>14044</v>
      </c>
      <c r="C950" s="19">
        <v>11571</v>
      </c>
      <c r="D950" s="19">
        <v>17608</v>
      </c>
      <c r="E950" s="19">
        <v>26789</v>
      </c>
      <c r="F950" s="19">
        <v>13836</v>
      </c>
      <c r="G950" s="19">
        <v>11774</v>
      </c>
      <c r="H950" s="19">
        <v>95622</v>
      </c>
    </row>
    <row r="951" spans="1:8" x14ac:dyDescent="0.2">
      <c r="A951" s="21" t="s">
        <v>411</v>
      </c>
      <c r="B951" s="19">
        <v>5709</v>
      </c>
      <c r="C951" s="19">
        <v>7690</v>
      </c>
      <c r="D951" s="19">
        <v>7821</v>
      </c>
      <c r="E951" s="19">
        <v>20812</v>
      </c>
      <c r="F951" s="19">
        <v>10193</v>
      </c>
      <c r="G951" s="19">
        <v>13256</v>
      </c>
      <c r="H951" s="19">
        <v>65481</v>
      </c>
    </row>
    <row r="952" spans="1:8" x14ac:dyDescent="0.2">
      <c r="A952" s="21" t="s">
        <v>432</v>
      </c>
      <c r="B952" s="19">
        <v>7244</v>
      </c>
      <c r="C952" s="19">
        <v>6098</v>
      </c>
      <c r="D952" s="19">
        <v>4231</v>
      </c>
      <c r="E952" s="19">
        <v>18856</v>
      </c>
      <c r="F952" s="19">
        <v>7940</v>
      </c>
      <c r="G952" s="19">
        <v>8601</v>
      </c>
      <c r="H952" s="19">
        <v>52970</v>
      </c>
    </row>
    <row r="953" spans="1:8" x14ac:dyDescent="0.2">
      <c r="A953" s="18" t="s">
        <v>412</v>
      </c>
      <c r="B953" s="19">
        <v>121627</v>
      </c>
      <c r="C953" s="19">
        <v>115442</v>
      </c>
      <c r="D953" s="19">
        <v>117918</v>
      </c>
      <c r="E953" s="19">
        <v>255992.5</v>
      </c>
      <c r="F953" s="19">
        <v>122953.5</v>
      </c>
      <c r="G953" s="19">
        <v>127199</v>
      </c>
      <c r="H953" s="19">
        <v>861132</v>
      </c>
    </row>
    <row r="954" spans="1:8" x14ac:dyDescent="0.2">
      <c r="A954" s="21" t="s">
        <v>413</v>
      </c>
      <c r="B954" s="19">
        <v>10019.5</v>
      </c>
      <c r="C954" s="19">
        <v>6578.5</v>
      </c>
      <c r="D954" s="19">
        <v>7700.5</v>
      </c>
      <c r="E954" s="19">
        <v>23598</v>
      </c>
      <c r="F954" s="19">
        <v>9971.5</v>
      </c>
      <c r="G954" s="19">
        <v>9967.5</v>
      </c>
      <c r="H954" s="19">
        <v>67835.5</v>
      </c>
    </row>
    <row r="955" spans="1:8" x14ac:dyDescent="0.2">
      <c r="A955" s="21" t="s">
        <v>414</v>
      </c>
      <c r="B955" s="19">
        <v>8475</v>
      </c>
      <c r="C955" s="19">
        <v>7503</v>
      </c>
      <c r="D955" s="19">
        <v>5405</v>
      </c>
      <c r="E955" s="19">
        <v>14629</v>
      </c>
      <c r="F955" s="19">
        <v>7893</v>
      </c>
      <c r="G955" s="19">
        <v>11210</v>
      </c>
      <c r="H955" s="19">
        <v>55115</v>
      </c>
    </row>
    <row r="956" spans="1:8" x14ac:dyDescent="0.2">
      <c r="A956" s="21" t="s">
        <v>433</v>
      </c>
      <c r="B956" s="19">
        <v>7716</v>
      </c>
      <c r="C956" s="19">
        <v>6476</v>
      </c>
      <c r="D956" s="19">
        <v>8280</v>
      </c>
      <c r="E956" s="19">
        <v>16695</v>
      </c>
      <c r="F956" s="19">
        <v>6691</v>
      </c>
      <c r="G956" s="19">
        <v>7562</v>
      </c>
      <c r="H956" s="19">
        <v>53420</v>
      </c>
    </row>
    <row r="957" spans="1:8" x14ac:dyDescent="0.2">
      <c r="A957" s="21" t="s">
        <v>434</v>
      </c>
      <c r="B957" s="19">
        <v>10767</v>
      </c>
      <c r="C957" s="19">
        <v>13590.5</v>
      </c>
      <c r="D957" s="19">
        <v>10055.5</v>
      </c>
      <c r="E957" s="19">
        <v>23653</v>
      </c>
      <c r="F957" s="19">
        <v>11458.5</v>
      </c>
      <c r="G957" s="19">
        <v>9362</v>
      </c>
      <c r="H957" s="19">
        <v>78886.5</v>
      </c>
    </row>
    <row r="958" spans="1:8" x14ac:dyDescent="0.2">
      <c r="A958" s="21" t="s">
        <v>415</v>
      </c>
      <c r="B958" s="19">
        <v>10237</v>
      </c>
      <c r="C958" s="19">
        <v>4800</v>
      </c>
      <c r="D958" s="19">
        <v>8300</v>
      </c>
      <c r="E958" s="19">
        <v>15417</v>
      </c>
      <c r="F958" s="19">
        <v>7015</v>
      </c>
      <c r="G958" s="19">
        <v>6002</v>
      </c>
      <c r="H958" s="19">
        <v>51771</v>
      </c>
    </row>
    <row r="959" spans="1:8" x14ac:dyDescent="0.2">
      <c r="A959" s="21" t="s">
        <v>416</v>
      </c>
      <c r="B959" s="19">
        <v>13985</v>
      </c>
      <c r="C959" s="19">
        <v>15055</v>
      </c>
      <c r="D959" s="19">
        <v>14069</v>
      </c>
      <c r="E959" s="19">
        <v>25598</v>
      </c>
      <c r="F959" s="19">
        <v>16953</v>
      </c>
      <c r="G959" s="19">
        <v>17642</v>
      </c>
      <c r="H959" s="19">
        <v>103302</v>
      </c>
    </row>
    <row r="960" spans="1:8" x14ac:dyDescent="0.2">
      <c r="A960" s="21" t="s">
        <v>417</v>
      </c>
      <c r="B960" s="19">
        <v>11620.5</v>
      </c>
      <c r="C960" s="19">
        <v>6960</v>
      </c>
      <c r="D960" s="19">
        <v>10568</v>
      </c>
      <c r="E960" s="19">
        <v>22637.5</v>
      </c>
      <c r="F960" s="19">
        <v>11253.5</v>
      </c>
      <c r="G960" s="19">
        <v>6309.5</v>
      </c>
      <c r="H960" s="19">
        <v>69349</v>
      </c>
    </row>
    <row r="961" spans="1:8" x14ac:dyDescent="0.2">
      <c r="A961" s="21" t="s">
        <v>435</v>
      </c>
      <c r="B961" s="19">
        <v>8865</v>
      </c>
      <c r="C961" s="19">
        <v>7365</v>
      </c>
      <c r="D961" s="19">
        <v>6209</v>
      </c>
      <c r="E961" s="19">
        <v>18834</v>
      </c>
      <c r="F961" s="19">
        <v>9765</v>
      </c>
      <c r="G961" s="19">
        <v>9667</v>
      </c>
      <c r="H961" s="19">
        <v>60705</v>
      </c>
    </row>
    <row r="962" spans="1:8" x14ac:dyDescent="0.2">
      <c r="A962" s="21" t="s">
        <v>409</v>
      </c>
      <c r="B962" s="19">
        <v>9240</v>
      </c>
      <c r="C962" s="19">
        <v>8205</v>
      </c>
      <c r="D962" s="19">
        <v>7826</v>
      </c>
      <c r="E962" s="19">
        <v>17416</v>
      </c>
      <c r="F962" s="19">
        <v>7023</v>
      </c>
      <c r="G962" s="19">
        <v>7570</v>
      </c>
      <c r="H962" s="19">
        <v>57280</v>
      </c>
    </row>
    <row r="963" spans="1:8" x14ac:dyDescent="0.2">
      <c r="A963" s="21" t="s">
        <v>410</v>
      </c>
      <c r="B963" s="19">
        <v>12612</v>
      </c>
      <c r="C963" s="19">
        <v>15082</v>
      </c>
      <c r="D963" s="19">
        <v>14304</v>
      </c>
      <c r="E963" s="19">
        <v>29623</v>
      </c>
      <c r="F963" s="19">
        <v>15749</v>
      </c>
      <c r="G963" s="19">
        <v>18112</v>
      </c>
      <c r="H963" s="19">
        <v>105482</v>
      </c>
    </row>
    <row r="964" spans="1:8" x14ac:dyDescent="0.2">
      <c r="A964" s="21" t="s">
        <v>411</v>
      </c>
      <c r="B964" s="19">
        <v>6509</v>
      </c>
      <c r="C964" s="19">
        <v>9513</v>
      </c>
      <c r="D964" s="19">
        <v>10418</v>
      </c>
      <c r="E964" s="19">
        <v>14129</v>
      </c>
      <c r="F964" s="19">
        <v>6992</v>
      </c>
      <c r="G964" s="19">
        <v>8089</v>
      </c>
      <c r="H964" s="19">
        <v>55650</v>
      </c>
    </row>
    <row r="965" spans="1:8" x14ac:dyDescent="0.2">
      <c r="A965" s="21" t="s">
        <v>432</v>
      </c>
      <c r="B965" s="19">
        <v>11581</v>
      </c>
      <c r="C965" s="19">
        <v>14314</v>
      </c>
      <c r="D965" s="19">
        <v>14783</v>
      </c>
      <c r="E965" s="19">
        <v>33763</v>
      </c>
      <c r="F965" s="19">
        <v>12189</v>
      </c>
      <c r="G965" s="19">
        <v>15706</v>
      </c>
      <c r="H965" s="19">
        <v>102336</v>
      </c>
    </row>
    <row r="966" spans="1:8" x14ac:dyDescent="0.2">
      <c r="A966" s="18" t="s">
        <v>405</v>
      </c>
      <c r="B966" s="19">
        <v>155315</v>
      </c>
      <c r="C966" s="19">
        <v>146846</v>
      </c>
      <c r="D966" s="19">
        <v>154198</v>
      </c>
      <c r="E966" s="19">
        <v>338239.5</v>
      </c>
      <c r="F966" s="19">
        <v>162424.5</v>
      </c>
      <c r="G966" s="19">
        <v>168783</v>
      </c>
      <c r="H966" s="19">
        <v>1125806</v>
      </c>
    </row>
  </sheetData>
  <pageMargins left="0.7" right="0.7" top="0.75" bottom="0.75" header="0.3" footer="0.3"/>
  <pageSetup paperSize="9" orientation="portrait" r:id="rId52"/>
  <drawing r:id="rId5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1002"/>
  <sheetViews>
    <sheetView zoomScale="90" zoomScaleNormal="90" workbookViewId="0">
      <selection activeCell="H163" sqref="H163"/>
    </sheetView>
  </sheetViews>
  <sheetFormatPr defaultColWidth="14.42578125" defaultRowHeight="15.75" customHeight="1" x14ac:dyDescent="0.2"/>
  <cols>
    <col min="3" max="3" width="15.42578125" bestFit="1" customWidth="1"/>
    <col min="4" max="4" width="22.140625" bestFit="1" customWidth="1"/>
    <col min="6" max="6" width="14.42578125" style="15"/>
    <col min="8" max="8" width="21.42578125" customWidth="1"/>
    <col min="11" max="11" width="16.140625" customWidth="1"/>
    <col min="24" max="24" width="19.28515625" customWidth="1"/>
  </cols>
  <sheetData>
    <row r="1" spans="1:19" ht="15.75" customHeight="1" x14ac:dyDescent="0.2">
      <c r="F1" s="14"/>
      <c r="G1" s="2"/>
      <c r="H1" s="2"/>
      <c r="I1" s="1"/>
      <c r="J1" s="2"/>
      <c r="K1" s="3"/>
      <c r="L1" s="1" t="s">
        <v>0</v>
      </c>
      <c r="M1" s="2"/>
    </row>
    <row r="2" spans="1:19" ht="15.75" customHeight="1" x14ac:dyDescent="0.2">
      <c r="F2" s="14"/>
      <c r="G2" s="2"/>
      <c r="H2" s="2"/>
      <c r="I2" s="1"/>
      <c r="J2" s="2"/>
      <c r="K2" s="3"/>
      <c r="L2" s="1"/>
      <c r="M2" s="2"/>
    </row>
    <row r="3" spans="1:19" ht="15.75" customHeight="1" x14ac:dyDescent="0.2">
      <c r="A3" t="s">
        <v>407</v>
      </c>
      <c r="B3" t="s">
        <v>1</v>
      </c>
      <c r="C3" t="s">
        <v>399</v>
      </c>
      <c r="D3" t="s">
        <v>185</v>
      </c>
      <c r="E3" t="s">
        <v>401</v>
      </c>
      <c r="F3" s="14" t="s">
        <v>4</v>
      </c>
      <c r="G3" s="2" t="s">
        <v>9</v>
      </c>
      <c r="H3" s="2" t="s">
        <v>5</v>
      </c>
      <c r="I3" s="1" t="s">
        <v>3</v>
      </c>
      <c r="J3" s="2" t="s">
        <v>6</v>
      </c>
      <c r="K3" s="3" t="s">
        <v>7</v>
      </c>
      <c r="L3" s="1" t="s">
        <v>2</v>
      </c>
      <c r="M3" s="2" t="s">
        <v>8</v>
      </c>
      <c r="N3" t="s">
        <v>400</v>
      </c>
      <c r="O3" s="16" t="s">
        <v>402</v>
      </c>
      <c r="P3" t="s">
        <v>420</v>
      </c>
      <c r="Q3" s="16" t="s">
        <v>437</v>
      </c>
      <c r="R3" s="16" t="s">
        <v>438</v>
      </c>
      <c r="S3" s="16" t="s">
        <v>439</v>
      </c>
    </row>
    <row r="4" spans="1:19" ht="15.75" hidden="1" customHeight="1" x14ac:dyDescent="0.2">
      <c r="A4" s="20">
        <v>41579</v>
      </c>
      <c r="B4" t="s">
        <v>395</v>
      </c>
      <c r="C4" t="s">
        <v>392</v>
      </c>
      <c r="D4" t="s">
        <v>359</v>
      </c>
      <c r="E4" t="str">
        <f>VLOOKUP(DataTable[[#This Row],[Country]],Market!B:C,2,FALSE)</f>
        <v>North America</v>
      </c>
      <c r="F4" s="24">
        <v>10</v>
      </c>
      <c r="G4" s="24">
        <v>2736</v>
      </c>
      <c r="H4" s="24">
        <v>12</v>
      </c>
      <c r="I4" s="27">
        <v>912</v>
      </c>
      <c r="J4" s="24">
        <v>10944</v>
      </c>
      <c r="K4" s="24">
        <v>0</v>
      </c>
      <c r="L4" s="1" t="s">
        <v>12</v>
      </c>
      <c r="M4" s="24">
        <v>10944</v>
      </c>
      <c r="N4" s="24">
        <f t="shared" ref="N4:N67" si="0">M4-G4</f>
        <v>8208</v>
      </c>
      <c r="O4" t="str">
        <f>IF(DataTable[[#This Row],[Profit]]/DataTable[[#This Row],[COGS]]*100&gt;20,"Achived","Not Achived")</f>
        <v>Achived</v>
      </c>
      <c r="P4" s="25">
        <f>DataTable[[#This Row],[Profit]]/DataTable[[#This Row],[COGS]]</f>
        <v>3</v>
      </c>
      <c r="Q4">
        <f>DataTable[[#This Row],[Manufacturing Price]]*DataTable[[#This Row],[Units Sold]]</f>
        <v>9120</v>
      </c>
      <c r="R4" s="26">
        <f>DataTable[[#This Row],[COGS]]-DataTable[[#This Row],[MC_US]]</f>
        <v>-6384</v>
      </c>
      <c r="S4" s="26">
        <f>IF(DataTable[[#This Row],[COGS-MC_US]]&gt;=0,DataTable[[#This Row],[Manufacturing Price]],DataTable[[#This Row],[COGS]]/DataTable[[#This Row],[Units Sold]])</f>
        <v>3</v>
      </c>
    </row>
    <row r="5" spans="1:19" ht="15.75" hidden="1" customHeight="1" x14ac:dyDescent="0.2">
      <c r="A5" s="20">
        <v>41730</v>
      </c>
      <c r="B5" t="s">
        <v>398</v>
      </c>
      <c r="C5" t="s">
        <v>392</v>
      </c>
      <c r="D5" t="s">
        <v>359</v>
      </c>
      <c r="E5" t="str">
        <f>VLOOKUP(DataTable[[#This Row],[Country]],Market!B:C,2,FALSE)</f>
        <v>North America</v>
      </c>
      <c r="F5" s="24">
        <v>260</v>
      </c>
      <c r="G5" s="24">
        <v>5859</v>
      </c>
      <c r="H5" s="24">
        <v>12</v>
      </c>
      <c r="I5" s="27">
        <v>1953</v>
      </c>
      <c r="J5" s="24">
        <v>23436</v>
      </c>
      <c r="K5" s="24">
        <v>0</v>
      </c>
      <c r="L5" s="1" t="s">
        <v>12</v>
      </c>
      <c r="M5" s="24">
        <v>23436</v>
      </c>
      <c r="N5" s="24">
        <f t="shared" si="0"/>
        <v>17577</v>
      </c>
      <c r="O5" t="str">
        <f>IF(DataTable[[#This Row],[Profit]]/DataTable[[#This Row],[COGS]]*100&gt;20,"Achived","Not Achived")</f>
        <v>Achived</v>
      </c>
      <c r="P5" s="25">
        <f>DataTable[[#This Row],[Profit]]/DataTable[[#This Row],[COGS]]</f>
        <v>3</v>
      </c>
      <c r="Q5">
        <f>DataTable[[#This Row],[Manufacturing Price]]*DataTable[[#This Row],[Units Sold]]</f>
        <v>507780</v>
      </c>
      <c r="R5" s="26">
        <f>DataTable[[#This Row],[COGS]]-DataTable[[#This Row],[MC_US]]</f>
        <v>-501921</v>
      </c>
      <c r="S5" s="26">
        <f>IF(DataTable[[#This Row],[COGS-MC_US]]&gt;=0,DataTable[[#This Row],[Manufacturing Price]],DataTable[[#This Row],[COGS]]/DataTable[[#This Row],[Units Sold]])</f>
        <v>3</v>
      </c>
    </row>
    <row r="6" spans="1:19" ht="15.75" hidden="1" customHeight="1" x14ac:dyDescent="0.2">
      <c r="A6" s="20">
        <v>41852</v>
      </c>
      <c r="B6" t="s">
        <v>398</v>
      </c>
      <c r="C6" t="s">
        <v>392</v>
      </c>
      <c r="D6" t="s">
        <v>359</v>
      </c>
      <c r="E6" t="str">
        <f>VLOOKUP(DataTable[[#This Row],[Country]],Market!B:C,2,FALSE)</f>
        <v>North America</v>
      </c>
      <c r="F6" s="24">
        <v>260</v>
      </c>
      <c r="G6" s="24">
        <v>6423</v>
      </c>
      <c r="H6" s="24">
        <v>12</v>
      </c>
      <c r="I6" s="27">
        <v>2141</v>
      </c>
      <c r="J6" s="24">
        <v>25692</v>
      </c>
      <c r="K6" s="24">
        <v>0</v>
      </c>
      <c r="L6" s="1" t="s">
        <v>12</v>
      </c>
      <c r="M6" s="24">
        <v>25692</v>
      </c>
      <c r="N6" s="24">
        <f t="shared" si="0"/>
        <v>19269</v>
      </c>
      <c r="O6" t="str">
        <f>IF(DataTable[[#This Row],[Profit]]/DataTable[[#This Row],[COGS]]*100&gt;20,"Achived","Not Achived")</f>
        <v>Achived</v>
      </c>
      <c r="P6" s="25">
        <f>DataTable[[#This Row],[Profit]]/DataTable[[#This Row],[COGS]]</f>
        <v>3</v>
      </c>
      <c r="Q6">
        <f>DataTable[[#This Row],[Manufacturing Price]]*DataTable[[#This Row],[Units Sold]]</f>
        <v>556660</v>
      </c>
      <c r="R6" s="26">
        <f>DataTable[[#This Row],[COGS]]-DataTable[[#This Row],[MC_US]]</f>
        <v>-550237</v>
      </c>
      <c r="S6" s="26">
        <f>IF(DataTable[[#This Row],[COGS-MC_US]]&gt;=0,DataTable[[#This Row],[Manufacturing Price]],DataTable[[#This Row],[COGS]]/DataTable[[#This Row],[Units Sold]])</f>
        <v>3</v>
      </c>
    </row>
    <row r="7" spans="1:19" ht="15.75" hidden="1" customHeight="1" x14ac:dyDescent="0.2">
      <c r="A7" s="20">
        <v>41671</v>
      </c>
      <c r="B7" t="s">
        <v>389</v>
      </c>
      <c r="C7" t="s">
        <v>392</v>
      </c>
      <c r="D7" t="s">
        <v>359</v>
      </c>
      <c r="E7" t="str">
        <f>VLOOKUP(DataTable[[#This Row],[Country]],Market!B:C,2,FALSE)</f>
        <v>North America</v>
      </c>
      <c r="F7" s="24">
        <v>3</v>
      </c>
      <c r="G7" s="24">
        <v>5574</v>
      </c>
      <c r="H7" s="24">
        <v>12</v>
      </c>
      <c r="I7" s="27">
        <v>1858</v>
      </c>
      <c r="J7" s="24">
        <v>22296</v>
      </c>
      <c r="K7" s="24">
        <v>222.96</v>
      </c>
      <c r="L7" s="1" t="s">
        <v>57</v>
      </c>
      <c r="M7" s="24">
        <v>22073.040000000001</v>
      </c>
      <c r="N7" s="24">
        <f t="shared" si="0"/>
        <v>16499.04</v>
      </c>
      <c r="O7" t="str">
        <f>IF(DataTable[[#This Row],[Profit]]/DataTable[[#This Row],[COGS]]*100&gt;20,"Achived","Not Achived")</f>
        <v>Achived</v>
      </c>
      <c r="P7" s="25">
        <f>DataTable[[#This Row],[Profit]]/DataTable[[#This Row],[COGS]]</f>
        <v>2.96</v>
      </c>
      <c r="Q7">
        <f>DataTable[[#This Row],[Manufacturing Price]]*DataTable[[#This Row],[Units Sold]]</f>
        <v>5574</v>
      </c>
      <c r="R7" s="26">
        <f>DataTable[[#This Row],[COGS]]-DataTable[[#This Row],[MC_US]]</f>
        <v>0</v>
      </c>
      <c r="S7" s="26">
        <f>IF(DataTable[[#This Row],[COGS-MC_US]]&gt;=0,DataTable[[#This Row],[Manufacturing Price]],DataTable[[#This Row],[COGS]]/DataTable[[#This Row],[Units Sold]])</f>
        <v>3</v>
      </c>
    </row>
    <row r="8" spans="1:19" ht="15.75" hidden="1" customHeight="1" x14ac:dyDescent="0.2">
      <c r="A8" s="20">
        <v>41518</v>
      </c>
      <c r="B8" t="s">
        <v>398</v>
      </c>
      <c r="C8" t="s">
        <v>392</v>
      </c>
      <c r="D8" t="s">
        <v>359</v>
      </c>
      <c r="E8" t="str">
        <f>VLOOKUP(DataTable[[#This Row],[Country]],Market!B:C,2,FALSE)</f>
        <v>North America</v>
      </c>
      <c r="F8" s="24">
        <v>260</v>
      </c>
      <c r="G8" s="24">
        <v>5967</v>
      </c>
      <c r="H8" s="24">
        <v>12</v>
      </c>
      <c r="I8" s="27">
        <v>1989</v>
      </c>
      <c r="J8" s="24">
        <v>23868</v>
      </c>
      <c r="K8" s="24">
        <v>238.68</v>
      </c>
      <c r="L8" s="1" t="s">
        <v>57</v>
      </c>
      <c r="M8" s="24">
        <v>23629.32</v>
      </c>
      <c r="N8" s="24">
        <f t="shared" si="0"/>
        <v>17662.32</v>
      </c>
      <c r="O8" t="str">
        <f>IF(DataTable[[#This Row],[Profit]]/DataTable[[#This Row],[COGS]]*100&gt;20,"Achived","Not Achived")</f>
        <v>Achived</v>
      </c>
      <c r="P8" s="25">
        <f>DataTable[[#This Row],[Profit]]/DataTable[[#This Row],[COGS]]</f>
        <v>2.96</v>
      </c>
      <c r="Q8">
        <f>DataTable[[#This Row],[Manufacturing Price]]*DataTable[[#This Row],[Units Sold]]</f>
        <v>517140</v>
      </c>
      <c r="R8" s="26">
        <f>DataTable[[#This Row],[COGS]]-DataTable[[#This Row],[MC_US]]</f>
        <v>-511173</v>
      </c>
      <c r="S8" s="26">
        <f>IF(DataTable[[#This Row],[COGS-MC_US]]&gt;=0,DataTable[[#This Row],[Manufacturing Price]],DataTable[[#This Row],[COGS]]/DataTable[[#This Row],[Units Sold]])</f>
        <v>3</v>
      </c>
    </row>
    <row r="9" spans="1:19" ht="15.75" hidden="1" customHeight="1" x14ac:dyDescent="0.2">
      <c r="A9" s="20">
        <v>41791</v>
      </c>
      <c r="B9" t="s">
        <v>391</v>
      </c>
      <c r="C9" t="s">
        <v>392</v>
      </c>
      <c r="D9" t="s">
        <v>359</v>
      </c>
      <c r="E9" t="str">
        <f>VLOOKUP(DataTable[[#This Row],[Country]],Market!B:C,2,FALSE)</f>
        <v>North America</v>
      </c>
      <c r="F9" s="24">
        <v>5</v>
      </c>
      <c r="G9" s="24">
        <v>3426</v>
      </c>
      <c r="H9" s="24">
        <v>12</v>
      </c>
      <c r="I9" s="27">
        <v>1142</v>
      </c>
      <c r="J9" s="24">
        <v>13704</v>
      </c>
      <c r="K9" s="24">
        <v>274.08</v>
      </c>
      <c r="L9" s="1" t="s">
        <v>57</v>
      </c>
      <c r="M9" s="24">
        <v>13429.92</v>
      </c>
      <c r="N9" s="24">
        <f t="shared" si="0"/>
        <v>10003.92</v>
      </c>
      <c r="O9" t="str">
        <f>IF(DataTable[[#This Row],[Profit]]/DataTable[[#This Row],[COGS]]*100&gt;20,"Achived","Not Achived")</f>
        <v>Achived</v>
      </c>
      <c r="P9" s="25">
        <f>DataTable[[#This Row],[Profit]]/DataTable[[#This Row],[COGS]]</f>
        <v>2.92</v>
      </c>
      <c r="Q9">
        <f>DataTable[[#This Row],[Manufacturing Price]]*DataTable[[#This Row],[Units Sold]]</f>
        <v>5710</v>
      </c>
      <c r="R9" s="26">
        <f>DataTable[[#This Row],[COGS]]-DataTable[[#This Row],[MC_US]]</f>
        <v>-2284</v>
      </c>
      <c r="S9" s="26">
        <f>IF(DataTable[[#This Row],[COGS-MC_US]]&gt;=0,DataTable[[#This Row],[Manufacturing Price]],DataTable[[#This Row],[COGS]]/DataTable[[#This Row],[Units Sold]])</f>
        <v>3</v>
      </c>
    </row>
    <row r="10" spans="1:19" ht="15.75" hidden="1" customHeight="1" x14ac:dyDescent="0.2">
      <c r="A10" s="20">
        <v>41791</v>
      </c>
      <c r="B10" t="s">
        <v>395</v>
      </c>
      <c r="C10" t="s">
        <v>392</v>
      </c>
      <c r="D10" t="s">
        <v>359</v>
      </c>
      <c r="E10" t="str">
        <f>VLOOKUP(DataTable[[#This Row],[Country]],Market!B:C,2,FALSE)</f>
        <v>North America</v>
      </c>
      <c r="F10" s="24">
        <v>10</v>
      </c>
      <c r="G10" s="24">
        <v>3426</v>
      </c>
      <c r="H10" s="24">
        <v>12</v>
      </c>
      <c r="I10" s="27">
        <v>1142</v>
      </c>
      <c r="J10" s="24">
        <v>13704</v>
      </c>
      <c r="K10" s="24">
        <v>274.08</v>
      </c>
      <c r="L10" s="1" t="s">
        <v>57</v>
      </c>
      <c r="M10" s="24">
        <v>13429.92</v>
      </c>
      <c r="N10" s="24">
        <f t="shared" si="0"/>
        <v>10003.92</v>
      </c>
      <c r="O10" t="str">
        <f>IF(DataTable[[#This Row],[Profit]]/DataTable[[#This Row],[COGS]]*100&gt;20,"Achived","Not Achived")</f>
        <v>Achived</v>
      </c>
      <c r="P10" s="25">
        <f>DataTable[[#This Row],[Profit]]/DataTable[[#This Row],[COGS]]</f>
        <v>2.92</v>
      </c>
      <c r="Q10">
        <f>DataTable[[#This Row],[Manufacturing Price]]*DataTable[[#This Row],[Units Sold]]</f>
        <v>11420</v>
      </c>
      <c r="R10" s="26">
        <f>DataTable[[#This Row],[COGS]]-DataTable[[#This Row],[MC_US]]</f>
        <v>-7994</v>
      </c>
      <c r="S10" s="26">
        <f>IF(DataTable[[#This Row],[COGS-MC_US]]&gt;=0,DataTable[[#This Row],[Manufacturing Price]],DataTable[[#This Row],[COGS]]/DataTable[[#This Row],[Units Sold]])</f>
        <v>3</v>
      </c>
    </row>
    <row r="11" spans="1:19" ht="15.75" hidden="1" customHeight="1" x14ac:dyDescent="0.2">
      <c r="A11" s="20">
        <v>41883</v>
      </c>
      <c r="B11" t="s">
        <v>389</v>
      </c>
      <c r="C11" t="s">
        <v>392</v>
      </c>
      <c r="D11" t="s">
        <v>359</v>
      </c>
      <c r="E11" t="str">
        <f>VLOOKUP(DataTable[[#This Row],[Country]],Market!B:C,2,FALSE)</f>
        <v>North America</v>
      </c>
      <c r="F11" s="24">
        <v>3</v>
      </c>
      <c r="G11" s="24">
        <v>5841</v>
      </c>
      <c r="H11" s="24">
        <v>12</v>
      </c>
      <c r="I11" s="27">
        <v>1947</v>
      </c>
      <c r="J11" s="24">
        <v>23364</v>
      </c>
      <c r="K11" s="24">
        <v>700.92</v>
      </c>
      <c r="L11" s="1" t="s">
        <v>57</v>
      </c>
      <c r="M11" s="24">
        <v>22663.08</v>
      </c>
      <c r="N11" s="24">
        <f t="shared" si="0"/>
        <v>16822.080000000002</v>
      </c>
      <c r="O11" t="str">
        <f>IF(DataTable[[#This Row],[Profit]]/DataTable[[#This Row],[COGS]]*100&gt;20,"Achived","Not Achived")</f>
        <v>Achived</v>
      </c>
      <c r="P11" s="25">
        <f>DataTable[[#This Row],[Profit]]/DataTable[[#This Row],[COGS]]</f>
        <v>2.8800000000000003</v>
      </c>
      <c r="Q11">
        <f>DataTable[[#This Row],[Manufacturing Price]]*DataTable[[#This Row],[Units Sold]]</f>
        <v>5841</v>
      </c>
      <c r="R11" s="26">
        <f>DataTable[[#This Row],[COGS]]-DataTable[[#This Row],[MC_US]]</f>
        <v>0</v>
      </c>
      <c r="S11" s="26">
        <f>IF(DataTable[[#This Row],[COGS-MC_US]]&gt;=0,DataTable[[#This Row],[Manufacturing Price]],DataTable[[#This Row],[COGS]]/DataTable[[#This Row],[Units Sold]])</f>
        <v>3</v>
      </c>
    </row>
    <row r="12" spans="1:19" ht="15.75" hidden="1" customHeight="1" x14ac:dyDescent="0.2">
      <c r="A12" s="20">
        <v>41821</v>
      </c>
      <c r="B12" t="s">
        <v>395</v>
      </c>
      <c r="C12" t="s">
        <v>392</v>
      </c>
      <c r="D12" t="s">
        <v>359</v>
      </c>
      <c r="E12" t="str">
        <f>VLOOKUP(DataTable[[#This Row],[Country]],Market!B:C,2,FALSE)</f>
        <v>North America</v>
      </c>
      <c r="F12" s="24">
        <v>10</v>
      </c>
      <c r="G12" s="24">
        <v>4108.5</v>
      </c>
      <c r="H12" s="24">
        <v>12</v>
      </c>
      <c r="I12" s="27">
        <v>1369.5</v>
      </c>
      <c r="J12" s="24">
        <v>16434</v>
      </c>
      <c r="K12" s="24">
        <v>493.02</v>
      </c>
      <c r="L12" s="1" t="s">
        <v>57</v>
      </c>
      <c r="M12" s="24">
        <v>15940.98</v>
      </c>
      <c r="N12" s="24">
        <f t="shared" si="0"/>
        <v>11832.48</v>
      </c>
      <c r="O12" t="str">
        <f>IF(DataTable[[#This Row],[Profit]]/DataTable[[#This Row],[COGS]]*100&gt;20,"Achived","Not Achived")</f>
        <v>Achived</v>
      </c>
      <c r="P12" s="25">
        <f>DataTable[[#This Row],[Profit]]/DataTable[[#This Row],[COGS]]</f>
        <v>2.88</v>
      </c>
      <c r="Q12">
        <f>DataTable[[#This Row],[Manufacturing Price]]*DataTable[[#This Row],[Units Sold]]</f>
        <v>13695</v>
      </c>
      <c r="R12" s="26">
        <f>DataTable[[#This Row],[COGS]]-DataTable[[#This Row],[MC_US]]</f>
        <v>-9586.5</v>
      </c>
      <c r="S12" s="26">
        <f>IF(DataTable[[#This Row],[COGS-MC_US]]&gt;=0,DataTable[[#This Row],[Manufacturing Price]],DataTable[[#This Row],[COGS]]/DataTable[[#This Row],[Units Sold]])</f>
        <v>3</v>
      </c>
    </row>
    <row r="13" spans="1:19" ht="15.75" hidden="1" customHeight="1" x14ac:dyDescent="0.2">
      <c r="A13" s="20">
        <v>41699</v>
      </c>
      <c r="B13" t="s">
        <v>396</v>
      </c>
      <c r="C13" t="s">
        <v>392</v>
      </c>
      <c r="D13" t="s">
        <v>359</v>
      </c>
      <c r="E13" t="str">
        <f>VLOOKUP(DataTable[[#This Row],[Country]],Market!B:C,2,FALSE)</f>
        <v>North America</v>
      </c>
      <c r="F13" s="24">
        <v>120</v>
      </c>
      <c r="G13" s="24">
        <v>4395</v>
      </c>
      <c r="H13" s="24">
        <v>12</v>
      </c>
      <c r="I13" s="27">
        <v>1465</v>
      </c>
      <c r="J13" s="24">
        <v>17580</v>
      </c>
      <c r="K13" s="24">
        <v>703.2</v>
      </c>
      <c r="L13" s="1" t="s">
        <v>57</v>
      </c>
      <c r="M13" s="24">
        <v>16876.8</v>
      </c>
      <c r="N13" s="24">
        <f t="shared" si="0"/>
        <v>12481.8</v>
      </c>
      <c r="O13" t="str">
        <f>IF(DataTable[[#This Row],[Profit]]/DataTable[[#This Row],[COGS]]*100&gt;20,"Achived","Not Achived")</f>
        <v>Achived</v>
      </c>
      <c r="P13" s="25">
        <f>DataTable[[#This Row],[Profit]]/DataTable[[#This Row],[COGS]]</f>
        <v>2.84</v>
      </c>
      <c r="Q13">
        <f>DataTable[[#This Row],[Manufacturing Price]]*DataTable[[#This Row],[Units Sold]]</f>
        <v>175800</v>
      </c>
      <c r="R13" s="26">
        <f>DataTable[[#This Row],[COGS]]-DataTable[[#This Row],[MC_US]]</f>
        <v>-171405</v>
      </c>
      <c r="S13" s="26">
        <f>IF(DataTable[[#This Row],[COGS-MC_US]]&gt;=0,DataTable[[#This Row],[Manufacturing Price]],DataTable[[#This Row],[COGS]]/DataTable[[#This Row],[Units Sold]])</f>
        <v>3</v>
      </c>
    </row>
    <row r="14" spans="1:19" ht="15.75" hidden="1" customHeight="1" x14ac:dyDescent="0.2">
      <c r="A14" s="20">
        <v>41944</v>
      </c>
      <c r="B14" t="s">
        <v>391</v>
      </c>
      <c r="C14" t="s">
        <v>392</v>
      </c>
      <c r="D14" t="s">
        <v>359</v>
      </c>
      <c r="E14" t="str">
        <f>VLOOKUP(DataTable[[#This Row],[Country]],Market!B:C,2,FALSE)</f>
        <v>North America</v>
      </c>
      <c r="F14" s="24">
        <v>5</v>
      </c>
      <c r="G14" s="24">
        <v>8169</v>
      </c>
      <c r="H14" s="24">
        <v>12</v>
      </c>
      <c r="I14" s="27">
        <v>2723</v>
      </c>
      <c r="J14" s="24">
        <v>32676</v>
      </c>
      <c r="K14" s="24">
        <v>1960.56</v>
      </c>
      <c r="L14" s="1" t="s">
        <v>124</v>
      </c>
      <c r="M14" s="24">
        <v>30715.439999999999</v>
      </c>
      <c r="N14" s="24">
        <f t="shared" si="0"/>
        <v>22546.44</v>
      </c>
      <c r="O14" t="str">
        <f>IF(DataTable[[#This Row],[Profit]]/DataTable[[#This Row],[COGS]]*100&gt;20,"Achived","Not Achived")</f>
        <v>Achived</v>
      </c>
      <c r="P14" s="25">
        <f>DataTable[[#This Row],[Profit]]/DataTable[[#This Row],[COGS]]</f>
        <v>2.76</v>
      </c>
      <c r="Q14">
        <f>DataTable[[#This Row],[Manufacturing Price]]*DataTable[[#This Row],[Units Sold]]</f>
        <v>13615</v>
      </c>
      <c r="R14" s="26">
        <f>DataTable[[#This Row],[COGS]]-DataTable[[#This Row],[MC_US]]</f>
        <v>-5446</v>
      </c>
      <c r="S14" s="26">
        <f>IF(DataTable[[#This Row],[COGS-MC_US]]&gt;=0,DataTable[[#This Row],[Manufacturing Price]],DataTable[[#This Row],[COGS]]/DataTable[[#This Row],[Units Sold]])</f>
        <v>3</v>
      </c>
    </row>
    <row r="15" spans="1:19" ht="15.75" hidden="1" customHeight="1" x14ac:dyDescent="0.2">
      <c r="A15" s="20">
        <v>41640</v>
      </c>
      <c r="B15" t="s">
        <v>397</v>
      </c>
      <c r="C15" t="s">
        <v>392</v>
      </c>
      <c r="D15" t="s">
        <v>359</v>
      </c>
      <c r="E15" t="str">
        <f>VLOOKUP(DataTable[[#This Row],[Country]],Market!B:C,2,FALSE)</f>
        <v>North America</v>
      </c>
      <c r="F15" s="24">
        <v>250</v>
      </c>
      <c r="G15" s="24">
        <v>5868</v>
      </c>
      <c r="H15" s="24">
        <v>12</v>
      </c>
      <c r="I15" s="27">
        <v>1956</v>
      </c>
      <c r="J15" s="24">
        <v>23472</v>
      </c>
      <c r="K15" s="24">
        <v>2112.48</v>
      </c>
      <c r="L15" s="1" t="s">
        <v>124</v>
      </c>
      <c r="M15" s="24">
        <v>21359.52</v>
      </c>
      <c r="N15" s="24">
        <f t="shared" si="0"/>
        <v>15491.52</v>
      </c>
      <c r="O15" t="str">
        <f>IF(DataTable[[#This Row],[Profit]]/DataTable[[#This Row],[COGS]]*100&gt;20,"Achived","Not Achived")</f>
        <v>Achived</v>
      </c>
      <c r="P15" s="25">
        <f>DataTable[[#This Row],[Profit]]/DataTable[[#This Row],[COGS]]</f>
        <v>2.64</v>
      </c>
      <c r="Q15">
        <f>DataTable[[#This Row],[Manufacturing Price]]*DataTable[[#This Row],[Units Sold]]</f>
        <v>489000</v>
      </c>
      <c r="R15" s="26">
        <f>DataTable[[#This Row],[COGS]]-DataTable[[#This Row],[MC_US]]</f>
        <v>-483132</v>
      </c>
      <c r="S15" s="26">
        <f>IF(DataTable[[#This Row],[COGS-MC_US]]&gt;=0,DataTable[[#This Row],[Manufacturing Price]],DataTable[[#This Row],[COGS]]/DataTable[[#This Row],[Units Sold]])</f>
        <v>3</v>
      </c>
    </row>
    <row r="16" spans="1:19" ht="15.75" customHeight="1" x14ac:dyDescent="0.2">
      <c r="A16" s="20">
        <v>41548</v>
      </c>
      <c r="B16" t="s">
        <v>389</v>
      </c>
      <c r="C16" t="s">
        <v>392</v>
      </c>
      <c r="D16" t="s">
        <v>359</v>
      </c>
      <c r="E16" t="str">
        <f>VLOOKUP(DataTable[[#This Row],[Country]],Market!B:C,2,FALSE)</f>
        <v>North America</v>
      </c>
      <c r="F16" s="24">
        <v>3</v>
      </c>
      <c r="G16" s="24">
        <v>1158</v>
      </c>
      <c r="H16" s="24">
        <v>12</v>
      </c>
      <c r="I16" s="27">
        <v>386</v>
      </c>
      <c r="J16" s="24">
        <v>4632</v>
      </c>
      <c r="K16" s="24">
        <v>463.2</v>
      </c>
      <c r="L16" s="1" t="s">
        <v>158</v>
      </c>
      <c r="M16" s="24">
        <v>4168.8</v>
      </c>
      <c r="N16" s="24">
        <f t="shared" si="0"/>
        <v>3010.8</v>
      </c>
      <c r="O16" t="str">
        <f>IF(DataTable[[#This Row],[Profit]]/DataTable[[#This Row],[COGS]]*100&gt;20,"Achived","Not Achived")</f>
        <v>Achived</v>
      </c>
      <c r="P16" s="25">
        <f>DataTable[[#This Row],[Profit]]/DataTable[[#This Row],[COGS]]</f>
        <v>2.6</v>
      </c>
      <c r="Q16">
        <f>DataTable[[#This Row],[Manufacturing Price]]*DataTable[[#This Row],[Units Sold]]</f>
        <v>1158</v>
      </c>
      <c r="R16" s="26">
        <f>DataTable[[#This Row],[COGS]]-DataTable[[#This Row],[MC_US]]</f>
        <v>0</v>
      </c>
      <c r="S16" s="26">
        <f>IF(DataTable[[#This Row],[COGS-MC_US]]&gt;=0,DataTable[[#This Row],[Manufacturing Price]],DataTable[[#This Row],[COGS]]/DataTable[[#This Row],[Units Sold]])</f>
        <v>3</v>
      </c>
    </row>
    <row r="17" spans="1:19" ht="15.75" customHeight="1" x14ac:dyDescent="0.2">
      <c r="A17" s="20">
        <v>41548</v>
      </c>
      <c r="B17" t="s">
        <v>395</v>
      </c>
      <c r="C17" t="s">
        <v>392</v>
      </c>
      <c r="D17" t="s">
        <v>359</v>
      </c>
      <c r="E17" t="str">
        <f>VLOOKUP(DataTable[[#This Row],[Country]],Market!B:C,2,FALSE)</f>
        <v>North America</v>
      </c>
      <c r="F17" s="24">
        <v>10</v>
      </c>
      <c r="G17" s="24">
        <v>1158</v>
      </c>
      <c r="H17" s="24">
        <v>12</v>
      </c>
      <c r="I17" s="27">
        <v>386</v>
      </c>
      <c r="J17" s="24">
        <v>4632</v>
      </c>
      <c r="K17" s="24">
        <v>463.2</v>
      </c>
      <c r="L17" s="1" t="s">
        <v>158</v>
      </c>
      <c r="M17" s="24">
        <v>4168.8</v>
      </c>
      <c r="N17" s="24">
        <f t="shared" si="0"/>
        <v>3010.8</v>
      </c>
      <c r="O17" t="str">
        <f>IF(DataTable[[#This Row],[Profit]]/DataTable[[#This Row],[COGS]]*100&gt;20,"Achived","Not Achived")</f>
        <v>Achived</v>
      </c>
      <c r="P17" s="25">
        <f>DataTable[[#This Row],[Profit]]/DataTable[[#This Row],[COGS]]</f>
        <v>2.6</v>
      </c>
      <c r="Q17">
        <f>DataTable[[#This Row],[Manufacturing Price]]*DataTable[[#This Row],[Units Sold]]</f>
        <v>3860</v>
      </c>
      <c r="R17" s="26">
        <f>DataTable[[#This Row],[COGS]]-DataTable[[#This Row],[MC_US]]</f>
        <v>-2702</v>
      </c>
      <c r="S17" s="26">
        <f>IF(DataTable[[#This Row],[COGS-MC_US]]&gt;=0,DataTable[[#This Row],[Manufacturing Price]],DataTable[[#This Row],[COGS]]/DataTable[[#This Row],[Units Sold]])</f>
        <v>3</v>
      </c>
    </row>
    <row r="18" spans="1:19" ht="15.75" customHeight="1" x14ac:dyDescent="0.2">
      <c r="A18" s="20">
        <v>41609</v>
      </c>
      <c r="B18" t="s">
        <v>398</v>
      </c>
      <c r="C18" t="s">
        <v>392</v>
      </c>
      <c r="D18" t="s">
        <v>359</v>
      </c>
      <c r="E18" t="str">
        <f>VLOOKUP(DataTable[[#This Row],[Country]],Market!B:C,2,FALSE)</f>
        <v>North America</v>
      </c>
      <c r="F18" s="24">
        <v>260</v>
      </c>
      <c r="G18" s="24">
        <v>6045</v>
      </c>
      <c r="H18" s="24">
        <v>12</v>
      </c>
      <c r="I18" s="27">
        <v>2015</v>
      </c>
      <c r="J18" s="24">
        <v>24180</v>
      </c>
      <c r="K18" s="24">
        <v>3385.2</v>
      </c>
      <c r="L18" s="1" t="s">
        <v>158</v>
      </c>
      <c r="M18" s="24">
        <v>20794.8</v>
      </c>
      <c r="N18" s="24">
        <f t="shared" si="0"/>
        <v>14749.8</v>
      </c>
      <c r="O18" t="str">
        <f>IF(DataTable[[#This Row],[Profit]]/DataTable[[#This Row],[COGS]]*100&gt;20,"Achived","Not Achived")</f>
        <v>Achived</v>
      </c>
      <c r="P18" s="25">
        <f>DataTable[[#This Row],[Profit]]/DataTable[[#This Row],[COGS]]</f>
        <v>2.44</v>
      </c>
      <c r="Q18">
        <f>DataTable[[#This Row],[Manufacturing Price]]*DataTable[[#This Row],[Units Sold]]</f>
        <v>523900</v>
      </c>
      <c r="R18" s="26">
        <f>DataTable[[#This Row],[COGS]]-DataTable[[#This Row],[MC_US]]</f>
        <v>-517855</v>
      </c>
      <c r="S18" s="26">
        <f>IF(DataTable[[#This Row],[COGS-MC_US]]&gt;=0,DataTable[[#This Row],[Manufacturing Price]],DataTable[[#This Row],[COGS]]/DataTable[[#This Row],[Units Sold]])</f>
        <v>3</v>
      </c>
    </row>
    <row r="19" spans="1:19" ht="15.75" customHeight="1" x14ac:dyDescent="0.2">
      <c r="A19" s="20">
        <v>41913</v>
      </c>
      <c r="B19" t="s">
        <v>395</v>
      </c>
      <c r="C19" t="s">
        <v>392</v>
      </c>
      <c r="D19" t="s">
        <v>359</v>
      </c>
      <c r="E19" t="str">
        <f>VLOOKUP(DataTable[[#This Row],[Country]],Market!B:C,2,FALSE)</f>
        <v>North America</v>
      </c>
      <c r="F19" s="24">
        <v>10</v>
      </c>
      <c r="G19" s="24">
        <v>8742</v>
      </c>
      <c r="H19" s="24">
        <v>12</v>
      </c>
      <c r="I19" s="27">
        <v>2914</v>
      </c>
      <c r="J19" s="24">
        <v>34968</v>
      </c>
      <c r="K19" s="24">
        <v>4895.5200000000004</v>
      </c>
      <c r="L19" s="1" t="s">
        <v>158</v>
      </c>
      <c r="M19" s="24">
        <v>30072.48</v>
      </c>
      <c r="N19" s="24">
        <f t="shared" si="0"/>
        <v>21330.48</v>
      </c>
      <c r="O19" t="str">
        <f>IF(DataTable[[#This Row],[Profit]]/DataTable[[#This Row],[COGS]]*100&gt;20,"Achived","Not Achived")</f>
        <v>Achived</v>
      </c>
      <c r="P19" s="25">
        <f>DataTable[[#This Row],[Profit]]/DataTable[[#This Row],[COGS]]</f>
        <v>2.44</v>
      </c>
      <c r="Q19">
        <f>DataTable[[#This Row],[Manufacturing Price]]*DataTable[[#This Row],[Units Sold]]</f>
        <v>29140</v>
      </c>
      <c r="R19" s="26">
        <f>DataTable[[#This Row],[COGS]]-DataTable[[#This Row],[MC_US]]</f>
        <v>-20398</v>
      </c>
      <c r="S19" s="26">
        <f>IF(DataTable[[#This Row],[COGS-MC_US]]&gt;=0,DataTable[[#This Row],[Manufacturing Price]],DataTable[[#This Row],[COGS]]/DataTable[[#This Row],[Units Sold]])</f>
        <v>3</v>
      </c>
    </row>
    <row r="20" spans="1:19" ht="15.75" customHeight="1" x14ac:dyDescent="0.2">
      <c r="A20" s="20">
        <v>41913</v>
      </c>
      <c r="B20" t="s">
        <v>398</v>
      </c>
      <c r="C20" t="s">
        <v>392</v>
      </c>
      <c r="D20" t="s">
        <v>359</v>
      </c>
      <c r="E20" t="str">
        <f>VLOOKUP(DataTable[[#This Row],[Country]],Market!B:C,2,FALSE)</f>
        <v>North America</v>
      </c>
      <c r="F20" s="24">
        <v>260</v>
      </c>
      <c r="G20" s="24">
        <v>8742</v>
      </c>
      <c r="H20" s="24">
        <v>12</v>
      </c>
      <c r="I20" s="27">
        <v>2914</v>
      </c>
      <c r="J20" s="24">
        <v>34968</v>
      </c>
      <c r="K20" s="24">
        <v>4895.5200000000004</v>
      </c>
      <c r="L20" s="1" t="s">
        <v>158</v>
      </c>
      <c r="M20" s="24">
        <v>30072.48</v>
      </c>
      <c r="N20" s="24">
        <f t="shared" si="0"/>
        <v>21330.48</v>
      </c>
      <c r="O20" t="str">
        <f>IF(DataTable[[#This Row],[Profit]]/DataTable[[#This Row],[COGS]]*100&gt;20,"Achived","Not Achived")</f>
        <v>Achived</v>
      </c>
      <c r="P20" s="25">
        <f>DataTable[[#This Row],[Profit]]/DataTable[[#This Row],[COGS]]</f>
        <v>2.44</v>
      </c>
      <c r="Q20">
        <f>DataTable[[#This Row],[Manufacturing Price]]*DataTable[[#This Row],[Units Sold]]</f>
        <v>757640</v>
      </c>
      <c r="R20" s="26">
        <f>DataTable[[#This Row],[COGS]]-DataTable[[#This Row],[MC_US]]</f>
        <v>-748898</v>
      </c>
      <c r="S20" s="26">
        <f>IF(DataTable[[#This Row],[COGS-MC_US]]&gt;=0,DataTable[[#This Row],[Manufacturing Price]],DataTable[[#This Row],[COGS]]/DataTable[[#This Row],[Units Sold]])</f>
        <v>3</v>
      </c>
    </row>
    <row r="21" spans="1:19" ht="15.75" customHeight="1" x14ac:dyDescent="0.2">
      <c r="A21" s="20">
        <v>41974</v>
      </c>
      <c r="B21" t="s">
        <v>395</v>
      </c>
      <c r="C21" t="s">
        <v>392</v>
      </c>
      <c r="D21" t="s">
        <v>359</v>
      </c>
      <c r="E21" t="str">
        <f>VLOOKUP(DataTable[[#This Row],[Country]],Market!B:C,2,FALSE)</f>
        <v>North America</v>
      </c>
      <c r="F21" s="24">
        <v>10</v>
      </c>
      <c r="G21" s="24">
        <v>2742</v>
      </c>
      <c r="H21" s="24">
        <v>12</v>
      </c>
      <c r="I21" s="27">
        <v>914</v>
      </c>
      <c r="J21" s="24">
        <v>10968</v>
      </c>
      <c r="K21" s="24">
        <v>1645.2</v>
      </c>
      <c r="L21" s="1" t="s">
        <v>158</v>
      </c>
      <c r="M21" s="24">
        <v>9322.7999999999993</v>
      </c>
      <c r="N21" s="24">
        <f t="shared" si="0"/>
        <v>6580.7999999999993</v>
      </c>
      <c r="O21" t="str">
        <f>IF(DataTable[[#This Row],[Profit]]/DataTable[[#This Row],[COGS]]*100&gt;20,"Achived","Not Achived")</f>
        <v>Achived</v>
      </c>
      <c r="P21" s="25">
        <f>DataTable[[#This Row],[Profit]]/DataTable[[#This Row],[COGS]]</f>
        <v>2.4</v>
      </c>
      <c r="Q21">
        <f>DataTable[[#This Row],[Manufacturing Price]]*DataTable[[#This Row],[Units Sold]]</f>
        <v>9140</v>
      </c>
      <c r="R21" s="26">
        <f>DataTable[[#This Row],[COGS]]-DataTable[[#This Row],[MC_US]]</f>
        <v>-6398</v>
      </c>
      <c r="S21" s="26">
        <f>IF(DataTable[[#This Row],[COGS-MC_US]]&gt;=0,DataTable[[#This Row],[Manufacturing Price]],DataTable[[#This Row],[COGS]]/DataTable[[#This Row],[Units Sold]])</f>
        <v>3</v>
      </c>
    </row>
    <row r="22" spans="1:19" ht="15.75" customHeight="1" x14ac:dyDescent="0.2">
      <c r="A22" s="20">
        <v>41974</v>
      </c>
      <c r="B22" t="s">
        <v>396</v>
      </c>
      <c r="C22" t="s">
        <v>392</v>
      </c>
      <c r="D22" t="s">
        <v>359</v>
      </c>
      <c r="E22" t="str">
        <f>VLOOKUP(DataTable[[#This Row],[Country]],Market!B:C,2,FALSE)</f>
        <v>North America</v>
      </c>
      <c r="F22" s="24">
        <v>120</v>
      </c>
      <c r="G22" s="24">
        <v>2742</v>
      </c>
      <c r="H22" s="24">
        <v>12</v>
      </c>
      <c r="I22" s="27">
        <v>914</v>
      </c>
      <c r="J22" s="24">
        <v>10968</v>
      </c>
      <c r="K22" s="24">
        <v>1645.2</v>
      </c>
      <c r="L22" s="1" t="s">
        <v>158</v>
      </c>
      <c r="M22" s="24">
        <v>9322.7999999999993</v>
      </c>
      <c r="N22" s="24">
        <f t="shared" si="0"/>
        <v>6580.7999999999993</v>
      </c>
      <c r="O22" t="str">
        <f>IF(DataTable[[#This Row],[Profit]]/DataTable[[#This Row],[COGS]]*100&gt;20,"Achived","Not Achived")</f>
        <v>Achived</v>
      </c>
      <c r="P22" s="25">
        <f>DataTable[[#This Row],[Profit]]/DataTable[[#This Row],[COGS]]</f>
        <v>2.4</v>
      </c>
      <c r="Q22">
        <f>DataTable[[#This Row],[Manufacturing Price]]*DataTable[[#This Row],[Units Sold]]</f>
        <v>109680</v>
      </c>
      <c r="R22" s="26">
        <f>DataTable[[#This Row],[COGS]]-DataTable[[#This Row],[MC_US]]</f>
        <v>-106938</v>
      </c>
      <c r="S22" s="26">
        <f>IF(DataTable[[#This Row],[COGS-MC_US]]&gt;=0,DataTable[[#This Row],[Manufacturing Price]],DataTable[[#This Row],[COGS]]/DataTable[[#This Row],[Units Sold]])</f>
        <v>3</v>
      </c>
    </row>
    <row r="23" spans="1:19" ht="12.75" x14ac:dyDescent="0.2">
      <c r="A23" s="20">
        <v>41760</v>
      </c>
      <c r="B23" t="s">
        <v>397</v>
      </c>
      <c r="C23" t="s">
        <v>392</v>
      </c>
      <c r="D23" t="s">
        <v>359</v>
      </c>
      <c r="E23" t="str">
        <f>VLOOKUP(DataTable[[#This Row],[Country]],Market!B:C,2,FALSE)</f>
        <v>North America</v>
      </c>
      <c r="F23" s="24">
        <v>250</v>
      </c>
      <c r="G23" s="24">
        <v>5418</v>
      </c>
      <c r="H23" s="24">
        <v>12</v>
      </c>
      <c r="I23" s="27">
        <v>1806</v>
      </c>
      <c r="J23" s="24">
        <v>21672</v>
      </c>
      <c r="K23" s="24">
        <v>3250.8</v>
      </c>
      <c r="L23" s="1" t="s">
        <v>158</v>
      </c>
      <c r="M23" s="24">
        <v>18421.2</v>
      </c>
      <c r="N23" s="24">
        <f t="shared" si="0"/>
        <v>13003.2</v>
      </c>
      <c r="O23" t="str">
        <f>IF(DataTable[[#This Row],[Profit]]/DataTable[[#This Row],[COGS]]*100&gt;20,"Achived","Not Achived")</f>
        <v>Achived</v>
      </c>
      <c r="P23" s="25">
        <f>DataTable[[#This Row],[Profit]]/DataTable[[#This Row],[COGS]]</f>
        <v>2.4000000000000004</v>
      </c>
      <c r="Q23">
        <f>DataTable[[#This Row],[Manufacturing Price]]*DataTable[[#This Row],[Units Sold]]</f>
        <v>451500</v>
      </c>
      <c r="R23" s="26">
        <f>DataTable[[#This Row],[COGS]]-DataTable[[#This Row],[MC_US]]</f>
        <v>-446082</v>
      </c>
      <c r="S23" s="26">
        <f>IF(DataTable[[#This Row],[COGS-MC_US]]&gt;=0,DataTable[[#This Row],[Manufacturing Price]],DataTable[[#This Row],[COGS]]/DataTable[[#This Row],[Units Sold]])</f>
        <v>3</v>
      </c>
    </row>
    <row r="24" spans="1:19" ht="12.75" hidden="1" x14ac:dyDescent="0.2">
      <c r="A24" s="20">
        <v>41944</v>
      </c>
      <c r="B24" t="s">
        <v>391</v>
      </c>
      <c r="C24" t="s">
        <v>392</v>
      </c>
      <c r="D24" t="s">
        <v>352</v>
      </c>
      <c r="E24" t="str">
        <f>VLOOKUP(DataTable[[#This Row],[Country]],Market!B:C,2,FALSE)</f>
        <v>North America</v>
      </c>
      <c r="F24" s="24">
        <v>5</v>
      </c>
      <c r="G24" s="24">
        <v>2070</v>
      </c>
      <c r="H24" s="24">
        <v>12</v>
      </c>
      <c r="I24" s="27">
        <v>690</v>
      </c>
      <c r="J24" s="24">
        <v>8280</v>
      </c>
      <c r="K24" s="24">
        <v>165.6</v>
      </c>
      <c r="L24" s="1" t="s">
        <v>57</v>
      </c>
      <c r="M24" s="24">
        <v>8114.4</v>
      </c>
      <c r="N24" s="24">
        <f t="shared" si="0"/>
        <v>6044.4</v>
      </c>
      <c r="O24" t="str">
        <f>IF(DataTable[[#This Row],[Profit]]/DataTable[[#This Row],[COGS]]*100&gt;20,"Achived","Not Achived")</f>
        <v>Achived</v>
      </c>
      <c r="P24" s="25">
        <f>DataTable[[#This Row],[Profit]]/DataTable[[#This Row],[COGS]]</f>
        <v>2.92</v>
      </c>
      <c r="Q24">
        <f>DataTable[[#This Row],[Manufacturing Price]]*DataTable[[#This Row],[Units Sold]]</f>
        <v>3450</v>
      </c>
      <c r="R24" s="26">
        <f>DataTable[[#This Row],[COGS]]-DataTable[[#This Row],[MC_US]]</f>
        <v>-1380</v>
      </c>
      <c r="S24" s="26">
        <f>IF(DataTable[[#This Row],[COGS-MC_US]]&gt;=0,DataTable[[#This Row],[Manufacturing Price]],DataTable[[#This Row],[COGS]]/DataTable[[#This Row],[Units Sold]])</f>
        <v>3</v>
      </c>
    </row>
    <row r="25" spans="1:19" ht="12.75" hidden="1" x14ac:dyDescent="0.2">
      <c r="A25" s="20">
        <v>41974</v>
      </c>
      <c r="B25" t="s">
        <v>395</v>
      </c>
      <c r="C25" t="s">
        <v>392</v>
      </c>
      <c r="D25" t="s">
        <v>352</v>
      </c>
      <c r="E25" t="str">
        <f>VLOOKUP(DataTable[[#This Row],[Country]],Market!B:C,2,FALSE)</f>
        <v>North America</v>
      </c>
      <c r="F25" s="24">
        <v>10</v>
      </c>
      <c r="G25" s="24">
        <v>3252</v>
      </c>
      <c r="H25" s="24">
        <v>12</v>
      </c>
      <c r="I25" s="27">
        <v>1084</v>
      </c>
      <c r="J25" s="24">
        <v>13008</v>
      </c>
      <c r="K25" s="24">
        <v>260.16000000000003</v>
      </c>
      <c r="L25" s="1" t="s">
        <v>57</v>
      </c>
      <c r="M25" s="24">
        <v>12747.84</v>
      </c>
      <c r="N25" s="24">
        <f t="shared" si="0"/>
        <v>9495.84</v>
      </c>
      <c r="O25" t="str">
        <f>IF(DataTable[[#This Row],[Profit]]/DataTable[[#This Row],[COGS]]*100&gt;20,"Achived","Not Achived")</f>
        <v>Achived</v>
      </c>
      <c r="P25" s="25">
        <f>DataTable[[#This Row],[Profit]]/DataTable[[#This Row],[COGS]]</f>
        <v>2.92</v>
      </c>
      <c r="Q25">
        <f>DataTable[[#This Row],[Manufacturing Price]]*DataTable[[#This Row],[Units Sold]]</f>
        <v>10840</v>
      </c>
      <c r="R25" s="26">
        <f>DataTable[[#This Row],[COGS]]-DataTable[[#This Row],[MC_US]]</f>
        <v>-7588</v>
      </c>
      <c r="S25" s="26">
        <f>IF(DataTable[[#This Row],[COGS-MC_US]]&gt;=0,DataTable[[#This Row],[Manufacturing Price]],DataTable[[#This Row],[COGS]]/DataTable[[#This Row],[Units Sold]])</f>
        <v>3</v>
      </c>
    </row>
    <row r="26" spans="1:19" ht="12.75" hidden="1" x14ac:dyDescent="0.2">
      <c r="A26" s="20">
        <v>41974</v>
      </c>
      <c r="B26" t="s">
        <v>396</v>
      </c>
      <c r="C26" t="s">
        <v>392</v>
      </c>
      <c r="D26" t="s">
        <v>352</v>
      </c>
      <c r="E26" t="str">
        <f>VLOOKUP(DataTable[[#This Row],[Country]],Market!B:C,2,FALSE)</f>
        <v>North America</v>
      </c>
      <c r="F26" s="24">
        <v>120</v>
      </c>
      <c r="G26" s="24">
        <v>3252</v>
      </c>
      <c r="H26" s="24">
        <v>12</v>
      </c>
      <c r="I26" s="27">
        <v>1084</v>
      </c>
      <c r="J26" s="24">
        <v>13008</v>
      </c>
      <c r="K26" s="24">
        <v>260.16000000000003</v>
      </c>
      <c r="L26" s="1" t="s">
        <v>57</v>
      </c>
      <c r="M26" s="24">
        <v>12747.84</v>
      </c>
      <c r="N26" s="24">
        <f t="shared" si="0"/>
        <v>9495.84</v>
      </c>
      <c r="O26" t="str">
        <f>IF(DataTable[[#This Row],[Profit]]/DataTable[[#This Row],[COGS]]*100&gt;20,"Achived","Not Achived")</f>
        <v>Achived</v>
      </c>
      <c r="P26" s="25">
        <f>DataTable[[#This Row],[Profit]]/DataTable[[#This Row],[COGS]]</f>
        <v>2.92</v>
      </c>
      <c r="Q26">
        <f>DataTable[[#This Row],[Manufacturing Price]]*DataTable[[#This Row],[Units Sold]]</f>
        <v>130080</v>
      </c>
      <c r="R26" s="26">
        <f>DataTable[[#This Row],[COGS]]-DataTable[[#This Row],[MC_US]]</f>
        <v>-126828</v>
      </c>
      <c r="S26" s="26">
        <f>IF(DataTable[[#This Row],[COGS-MC_US]]&gt;=0,DataTable[[#This Row],[Manufacturing Price]],DataTable[[#This Row],[COGS]]/DataTable[[#This Row],[Units Sold]])</f>
        <v>3</v>
      </c>
    </row>
    <row r="27" spans="1:19" ht="12.75" hidden="1" x14ac:dyDescent="0.2">
      <c r="A27" s="20">
        <v>41730</v>
      </c>
      <c r="B27" t="s">
        <v>397</v>
      </c>
      <c r="C27" t="s">
        <v>392</v>
      </c>
      <c r="D27" t="s">
        <v>352</v>
      </c>
      <c r="E27" t="str">
        <f>VLOOKUP(DataTable[[#This Row],[Country]],Market!B:C,2,FALSE)</f>
        <v>North America</v>
      </c>
      <c r="F27" s="24">
        <v>250</v>
      </c>
      <c r="G27" s="24">
        <v>5748</v>
      </c>
      <c r="H27" s="24">
        <v>12</v>
      </c>
      <c r="I27" s="27">
        <v>1916</v>
      </c>
      <c r="J27" s="24">
        <v>22992</v>
      </c>
      <c r="K27" s="24">
        <v>689.76</v>
      </c>
      <c r="L27" s="1" t="s">
        <v>57</v>
      </c>
      <c r="M27" s="24">
        <v>22302.240000000002</v>
      </c>
      <c r="N27" s="24">
        <f t="shared" si="0"/>
        <v>16554.240000000002</v>
      </c>
      <c r="O27" t="str">
        <f>IF(DataTable[[#This Row],[Profit]]/DataTable[[#This Row],[COGS]]*100&gt;20,"Achived","Not Achived")</f>
        <v>Achived</v>
      </c>
      <c r="P27" s="25">
        <f>DataTable[[#This Row],[Profit]]/DataTable[[#This Row],[COGS]]</f>
        <v>2.8800000000000003</v>
      </c>
      <c r="Q27">
        <f>DataTable[[#This Row],[Manufacturing Price]]*DataTable[[#This Row],[Units Sold]]</f>
        <v>479000</v>
      </c>
      <c r="R27" s="26">
        <f>DataTable[[#This Row],[COGS]]-DataTable[[#This Row],[MC_US]]</f>
        <v>-473252</v>
      </c>
      <c r="S27" s="26">
        <f>IF(DataTable[[#This Row],[COGS-MC_US]]&gt;=0,DataTable[[#This Row],[Manufacturing Price]],DataTable[[#This Row],[COGS]]/DataTable[[#This Row],[Units Sold]])</f>
        <v>3</v>
      </c>
    </row>
    <row r="28" spans="1:19" ht="12.75" hidden="1" x14ac:dyDescent="0.2">
      <c r="A28" s="20">
        <v>41852</v>
      </c>
      <c r="B28" t="s">
        <v>398</v>
      </c>
      <c r="C28" t="s">
        <v>392</v>
      </c>
      <c r="D28" t="s">
        <v>352</v>
      </c>
      <c r="E28" t="str">
        <f>VLOOKUP(DataTable[[#This Row],[Country]],Market!B:C,2,FALSE)</f>
        <v>North America</v>
      </c>
      <c r="F28" s="24">
        <v>260</v>
      </c>
      <c r="G28" s="24">
        <v>3369</v>
      </c>
      <c r="H28" s="24">
        <v>12</v>
      </c>
      <c r="I28" s="27">
        <v>1123</v>
      </c>
      <c r="J28" s="24">
        <v>13476</v>
      </c>
      <c r="K28" s="24">
        <v>673.8</v>
      </c>
      <c r="L28" s="1" t="s">
        <v>124</v>
      </c>
      <c r="M28" s="24">
        <v>12802.2</v>
      </c>
      <c r="N28" s="24">
        <f t="shared" si="0"/>
        <v>9433.2000000000007</v>
      </c>
      <c r="O28" t="str">
        <f>IF(DataTable[[#This Row],[Profit]]/DataTable[[#This Row],[COGS]]*100&gt;20,"Achived","Not Achived")</f>
        <v>Achived</v>
      </c>
      <c r="P28" s="25">
        <f>DataTable[[#This Row],[Profit]]/DataTable[[#This Row],[COGS]]</f>
        <v>2.8000000000000003</v>
      </c>
      <c r="Q28">
        <f>DataTable[[#This Row],[Manufacturing Price]]*DataTable[[#This Row],[Units Sold]]</f>
        <v>291980</v>
      </c>
      <c r="R28" s="26">
        <f>DataTable[[#This Row],[COGS]]-DataTable[[#This Row],[MC_US]]</f>
        <v>-288611</v>
      </c>
      <c r="S28" s="26">
        <f>IF(DataTable[[#This Row],[COGS-MC_US]]&gt;=0,DataTable[[#This Row],[Manufacturing Price]],DataTable[[#This Row],[COGS]]/DataTable[[#This Row],[Units Sold]])</f>
        <v>3</v>
      </c>
    </row>
    <row r="29" spans="1:19" ht="12.75" hidden="1" x14ac:dyDescent="0.2">
      <c r="A29" s="20">
        <v>41883</v>
      </c>
      <c r="B29" t="s">
        <v>389</v>
      </c>
      <c r="C29" t="s">
        <v>392</v>
      </c>
      <c r="D29" t="s">
        <v>352</v>
      </c>
      <c r="E29" t="str">
        <f>VLOOKUP(DataTable[[#This Row],[Country]],Market!B:C,2,FALSE)</f>
        <v>North America</v>
      </c>
      <c r="F29" s="24">
        <v>3</v>
      </c>
      <c r="G29" s="24">
        <v>1686</v>
      </c>
      <c r="H29" s="24">
        <v>12</v>
      </c>
      <c r="I29" s="27">
        <v>562</v>
      </c>
      <c r="J29" s="24">
        <v>6744</v>
      </c>
      <c r="K29" s="24">
        <v>404.64</v>
      </c>
      <c r="L29" s="1" t="s">
        <v>124</v>
      </c>
      <c r="M29" s="24">
        <v>6339.36</v>
      </c>
      <c r="N29" s="24">
        <f t="shared" si="0"/>
        <v>4653.3599999999997</v>
      </c>
      <c r="O29" t="str">
        <f>IF(DataTable[[#This Row],[Profit]]/DataTable[[#This Row],[COGS]]*100&gt;20,"Achived","Not Achived")</f>
        <v>Achived</v>
      </c>
      <c r="P29" s="25">
        <f>DataTable[[#This Row],[Profit]]/DataTable[[#This Row],[COGS]]</f>
        <v>2.76</v>
      </c>
      <c r="Q29">
        <f>DataTable[[#This Row],[Manufacturing Price]]*DataTable[[#This Row],[Units Sold]]</f>
        <v>1686</v>
      </c>
      <c r="R29" s="26">
        <f>DataTable[[#This Row],[COGS]]-DataTable[[#This Row],[MC_US]]</f>
        <v>0</v>
      </c>
      <c r="S29" s="26">
        <f>IF(DataTable[[#This Row],[COGS-MC_US]]&gt;=0,DataTable[[#This Row],[Manufacturing Price]],DataTable[[#This Row],[COGS]]/DataTable[[#This Row],[Units Sold]])</f>
        <v>3</v>
      </c>
    </row>
    <row r="30" spans="1:19" ht="12.75" hidden="1" x14ac:dyDescent="0.2">
      <c r="A30" s="20">
        <v>41671</v>
      </c>
      <c r="B30" t="s">
        <v>389</v>
      </c>
      <c r="C30" t="s">
        <v>392</v>
      </c>
      <c r="D30" t="s">
        <v>352</v>
      </c>
      <c r="E30" t="str">
        <f>VLOOKUP(DataTable[[#This Row],[Country]],Market!B:C,2,FALSE)</f>
        <v>North America</v>
      </c>
      <c r="F30" s="24">
        <v>3</v>
      </c>
      <c r="G30" s="24">
        <v>2181</v>
      </c>
      <c r="H30" s="24">
        <v>12</v>
      </c>
      <c r="I30" s="27">
        <v>727</v>
      </c>
      <c r="J30" s="24">
        <v>8724</v>
      </c>
      <c r="K30" s="24">
        <v>610.67999999999995</v>
      </c>
      <c r="L30" s="1" t="s">
        <v>124</v>
      </c>
      <c r="M30" s="24">
        <v>8113.32</v>
      </c>
      <c r="N30" s="24">
        <f t="shared" si="0"/>
        <v>5932.32</v>
      </c>
      <c r="O30" t="str">
        <f>IF(DataTable[[#This Row],[Profit]]/DataTable[[#This Row],[COGS]]*100&gt;20,"Achived","Not Achived")</f>
        <v>Achived</v>
      </c>
      <c r="P30" s="25">
        <f>DataTable[[#This Row],[Profit]]/DataTable[[#This Row],[COGS]]</f>
        <v>2.7199999999999998</v>
      </c>
      <c r="Q30">
        <f>DataTable[[#This Row],[Manufacturing Price]]*DataTable[[#This Row],[Units Sold]]</f>
        <v>2181</v>
      </c>
      <c r="R30" s="26">
        <f>DataTable[[#This Row],[COGS]]-DataTable[[#This Row],[MC_US]]</f>
        <v>0</v>
      </c>
      <c r="S30" s="26">
        <f>IF(DataTable[[#This Row],[COGS-MC_US]]&gt;=0,DataTable[[#This Row],[Manufacturing Price]],DataTable[[#This Row],[COGS]]/DataTable[[#This Row],[Units Sold]])</f>
        <v>3</v>
      </c>
    </row>
    <row r="31" spans="1:19" ht="12.75" hidden="1" x14ac:dyDescent="0.2">
      <c r="A31" s="20">
        <v>41640</v>
      </c>
      <c r="B31" t="s">
        <v>391</v>
      </c>
      <c r="C31" t="s">
        <v>392</v>
      </c>
      <c r="D31" t="s">
        <v>352</v>
      </c>
      <c r="E31" t="str">
        <f>VLOOKUP(DataTable[[#This Row],[Country]],Market!B:C,2,FALSE)</f>
        <v>North America</v>
      </c>
      <c r="F31" s="24">
        <v>5</v>
      </c>
      <c r="G31" s="24">
        <v>7020</v>
      </c>
      <c r="H31" s="24">
        <v>12</v>
      </c>
      <c r="I31" s="27">
        <v>2340</v>
      </c>
      <c r="J31" s="24">
        <v>28080</v>
      </c>
      <c r="K31" s="24">
        <v>1965.6</v>
      </c>
      <c r="L31" s="1" t="s">
        <v>124</v>
      </c>
      <c r="M31" s="24">
        <v>26114.400000000001</v>
      </c>
      <c r="N31" s="24">
        <f t="shared" si="0"/>
        <v>19094.400000000001</v>
      </c>
      <c r="O31" t="str">
        <f>IF(DataTable[[#This Row],[Profit]]/DataTable[[#This Row],[COGS]]*100&gt;20,"Achived","Not Achived")</f>
        <v>Achived</v>
      </c>
      <c r="P31" s="25">
        <f>DataTable[[#This Row],[Profit]]/DataTable[[#This Row],[COGS]]</f>
        <v>2.72</v>
      </c>
      <c r="Q31">
        <f>DataTable[[#This Row],[Manufacturing Price]]*DataTable[[#This Row],[Units Sold]]</f>
        <v>11700</v>
      </c>
      <c r="R31" s="26">
        <f>DataTable[[#This Row],[COGS]]-DataTable[[#This Row],[MC_US]]</f>
        <v>-4680</v>
      </c>
      <c r="S31" s="26">
        <f>IF(DataTable[[#This Row],[COGS-MC_US]]&gt;=0,DataTable[[#This Row],[Manufacturing Price]],DataTable[[#This Row],[COGS]]/DataTable[[#This Row],[Units Sold]])</f>
        <v>3</v>
      </c>
    </row>
    <row r="32" spans="1:19" ht="12.75" hidden="1" x14ac:dyDescent="0.2">
      <c r="A32" s="20">
        <v>41579</v>
      </c>
      <c r="B32" t="s">
        <v>395</v>
      </c>
      <c r="C32" t="s">
        <v>392</v>
      </c>
      <c r="D32" t="s">
        <v>352</v>
      </c>
      <c r="E32" t="str">
        <f>VLOOKUP(DataTable[[#This Row],[Country]],Market!B:C,2,FALSE)</f>
        <v>North America</v>
      </c>
      <c r="F32" s="24">
        <v>10</v>
      </c>
      <c r="G32" s="24">
        <v>8289</v>
      </c>
      <c r="H32" s="24">
        <v>12</v>
      </c>
      <c r="I32" s="27">
        <v>2763</v>
      </c>
      <c r="J32" s="24">
        <v>33156</v>
      </c>
      <c r="K32" s="24">
        <v>2320.92</v>
      </c>
      <c r="L32" s="1" t="s">
        <v>124</v>
      </c>
      <c r="M32" s="24">
        <v>30835.08</v>
      </c>
      <c r="N32" s="24">
        <f t="shared" si="0"/>
        <v>22546.080000000002</v>
      </c>
      <c r="O32" t="str">
        <f>IF(DataTable[[#This Row],[Profit]]/DataTable[[#This Row],[COGS]]*100&gt;20,"Achived","Not Achived")</f>
        <v>Achived</v>
      </c>
      <c r="P32" s="25">
        <f>DataTable[[#This Row],[Profit]]/DataTable[[#This Row],[COGS]]</f>
        <v>2.72</v>
      </c>
      <c r="Q32">
        <f>DataTable[[#This Row],[Manufacturing Price]]*DataTable[[#This Row],[Units Sold]]</f>
        <v>27630</v>
      </c>
      <c r="R32" s="26">
        <f>DataTable[[#This Row],[COGS]]-DataTable[[#This Row],[MC_US]]</f>
        <v>-19341</v>
      </c>
      <c r="S32" s="26">
        <f>IF(DataTable[[#This Row],[COGS-MC_US]]&gt;=0,DataTable[[#This Row],[Manufacturing Price]],DataTable[[#This Row],[COGS]]/DataTable[[#This Row],[Units Sold]])</f>
        <v>3</v>
      </c>
    </row>
    <row r="33" spans="1:19" ht="12.75" hidden="1" x14ac:dyDescent="0.2">
      <c r="A33" s="20">
        <v>41609</v>
      </c>
      <c r="B33" t="s">
        <v>398</v>
      </c>
      <c r="C33" t="s">
        <v>392</v>
      </c>
      <c r="D33" t="s">
        <v>352</v>
      </c>
      <c r="E33" t="str">
        <f>VLOOKUP(DataTable[[#This Row],[Country]],Market!B:C,2,FALSE)</f>
        <v>North America</v>
      </c>
      <c r="F33" s="24">
        <v>260</v>
      </c>
      <c r="G33" s="24">
        <v>4125</v>
      </c>
      <c r="H33" s="24">
        <v>12</v>
      </c>
      <c r="I33" s="27">
        <v>1375</v>
      </c>
      <c r="J33" s="24">
        <v>16500</v>
      </c>
      <c r="K33" s="24">
        <v>1320</v>
      </c>
      <c r="L33" s="1" t="s">
        <v>124</v>
      </c>
      <c r="M33" s="24">
        <v>15180</v>
      </c>
      <c r="N33" s="24">
        <f t="shared" si="0"/>
        <v>11055</v>
      </c>
      <c r="O33" t="str">
        <f>IF(DataTable[[#This Row],[Profit]]/DataTable[[#This Row],[COGS]]*100&gt;20,"Achived","Not Achived")</f>
        <v>Achived</v>
      </c>
      <c r="P33" s="25">
        <f>DataTable[[#This Row],[Profit]]/DataTable[[#This Row],[COGS]]</f>
        <v>2.68</v>
      </c>
      <c r="Q33">
        <f>DataTable[[#This Row],[Manufacturing Price]]*DataTable[[#This Row],[Units Sold]]</f>
        <v>357500</v>
      </c>
      <c r="R33" s="26">
        <f>DataTable[[#This Row],[COGS]]-DataTable[[#This Row],[MC_US]]</f>
        <v>-353375</v>
      </c>
      <c r="S33" s="26">
        <f>IF(DataTable[[#This Row],[COGS-MC_US]]&gt;=0,DataTable[[#This Row],[Manufacturing Price]],DataTable[[#This Row],[COGS]]/DataTable[[#This Row],[Units Sold]])</f>
        <v>3</v>
      </c>
    </row>
    <row r="34" spans="1:19" ht="12.75" hidden="1" x14ac:dyDescent="0.2">
      <c r="A34" s="20">
        <v>41548</v>
      </c>
      <c r="B34" t="s">
        <v>389</v>
      </c>
      <c r="C34" t="s">
        <v>392</v>
      </c>
      <c r="D34" t="s">
        <v>352</v>
      </c>
      <c r="E34" t="str">
        <f>VLOOKUP(DataTable[[#This Row],[Country]],Market!B:C,2,FALSE)</f>
        <v>North America</v>
      </c>
      <c r="F34" s="24">
        <v>3</v>
      </c>
      <c r="G34" s="24">
        <v>1101</v>
      </c>
      <c r="H34" s="24">
        <v>12</v>
      </c>
      <c r="I34" s="27">
        <v>367</v>
      </c>
      <c r="J34" s="24">
        <v>4404</v>
      </c>
      <c r="K34" s="24">
        <v>396.36</v>
      </c>
      <c r="L34" s="1" t="s">
        <v>124</v>
      </c>
      <c r="M34" s="24">
        <v>4007.64</v>
      </c>
      <c r="N34" s="24">
        <f t="shared" si="0"/>
        <v>2906.64</v>
      </c>
      <c r="O34" t="str">
        <f>IF(DataTable[[#This Row],[Profit]]/DataTable[[#This Row],[COGS]]*100&gt;20,"Achived","Not Achived")</f>
        <v>Achived</v>
      </c>
      <c r="P34" s="25">
        <f>DataTable[[#This Row],[Profit]]/DataTable[[#This Row],[COGS]]</f>
        <v>2.6399999999999997</v>
      </c>
      <c r="Q34">
        <f>DataTable[[#This Row],[Manufacturing Price]]*DataTable[[#This Row],[Units Sold]]</f>
        <v>1101</v>
      </c>
      <c r="R34" s="26">
        <f>DataTable[[#This Row],[COGS]]-DataTable[[#This Row],[MC_US]]</f>
        <v>0</v>
      </c>
      <c r="S34" s="26">
        <f>IF(DataTable[[#This Row],[COGS-MC_US]]&gt;=0,DataTable[[#This Row],[Manufacturing Price]],DataTable[[#This Row],[COGS]]/DataTable[[#This Row],[Units Sold]])</f>
        <v>3</v>
      </c>
    </row>
    <row r="35" spans="1:19" ht="12.75" hidden="1" x14ac:dyDescent="0.2">
      <c r="A35" s="20">
        <v>41548</v>
      </c>
      <c r="B35" t="s">
        <v>395</v>
      </c>
      <c r="C35" t="s">
        <v>392</v>
      </c>
      <c r="D35" t="s">
        <v>352</v>
      </c>
      <c r="E35" t="str">
        <f>VLOOKUP(DataTable[[#This Row],[Country]],Market!B:C,2,FALSE)</f>
        <v>North America</v>
      </c>
      <c r="F35" s="24">
        <v>10</v>
      </c>
      <c r="G35" s="24">
        <v>1101</v>
      </c>
      <c r="H35" s="24">
        <v>12</v>
      </c>
      <c r="I35" s="27">
        <v>367</v>
      </c>
      <c r="J35" s="24">
        <v>4404</v>
      </c>
      <c r="K35" s="24">
        <v>396.36</v>
      </c>
      <c r="L35" s="1" t="s">
        <v>124</v>
      </c>
      <c r="M35" s="24">
        <v>4007.64</v>
      </c>
      <c r="N35" s="24">
        <f t="shared" si="0"/>
        <v>2906.64</v>
      </c>
      <c r="O35" t="str">
        <f>IF(DataTable[[#This Row],[Profit]]/DataTable[[#This Row],[COGS]]*100&gt;20,"Achived","Not Achived")</f>
        <v>Achived</v>
      </c>
      <c r="P35" s="25">
        <f>DataTable[[#This Row],[Profit]]/DataTable[[#This Row],[COGS]]</f>
        <v>2.6399999999999997</v>
      </c>
      <c r="Q35">
        <f>DataTable[[#This Row],[Manufacturing Price]]*DataTable[[#This Row],[Units Sold]]</f>
        <v>3670</v>
      </c>
      <c r="R35" s="26">
        <f>DataTable[[#This Row],[COGS]]-DataTable[[#This Row],[MC_US]]</f>
        <v>-2569</v>
      </c>
      <c r="S35" s="26">
        <f>IF(DataTable[[#This Row],[COGS-MC_US]]&gt;=0,DataTable[[#This Row],[Manufacturing Price]],DataTable[[#This Row],[COGS]]/DataTable[[#This Row],[Units Sold]])</f>
        <v>3</v>
      </c>
    </row>
    <row r="36" spans="1:19" ht="12.75" x14ac:dyDescent="0.2">
      <c r="A36" s="20">
        <v>41518</v>
      </c>
      <c r="B36" t="s">
        <v>397</v>
      </c>
      <c r="C36" t="s">
        <v>392</v>
      </c>
      <c r="D36" t="s">
        <v>352</v>
      </c>
      <c r="E36" t="str">
        <f>VLOOKUP(DataTable[[#This Row],[Country]],Market!B:C,2,FALSE)</f>
        <v>North America</v>
      </c>
      <c r="F36" s="24">
        <v>250</v>
      </c>
      <c r="G36" s="24">
        <v>3015</v>
      </c>
      <c r="H36" s="24">
        <v>12</v>
      </c>
      <c r="I36" s="27">
        <v>1005</v>
      </c>
      <c r="J36" s="24">
        <v>12060</v>
      </c>
      <c r="K36" s="24">
        <v>1326.6</v>
      </c>
      <c r="L36" s="1" t="s">
        <v>158</v>
      </c>
      <c r="M36" s="24">
        <v>10733.4</v>
      </c>
      <c r="N36" s="24">
        <f t="shared" si="0"/>
        <v>7718.4</v>
      </c>
      <c r="O36" t="str">
        <f>IF(DataTable[[#This Row],[Profit]]/DataTable[[#This Row],[COGS]]*100&gt;20,"Achived","Not Achived")</f>
        <v>Achived</v>
      </c>
      <c r="P36" s="25">
        <f>DataTable[[#This Row],[Profit]]/DataTable[[#This Row],[COGS]]</f>
        <v>2.56</v>
      </c>
      <c r="Q36">
        <f>DataTable[[#This Row],[Manufacturing Price]]*DataTable[[#This Row],[Units Sold]]</f>
        <v>251250</v>
      </c>
      <c r="R36" s="26">
        <f>DataTable[[#This Row],[COGS]]-DataTable[[#This Row],[MC_US]]</f>
        <v>-248235</v>
      </c>
      <c r="S36" s="26">
        <f>IF(DataTable[[#This Row],[COGS-MC_US]]&gt;=0,DataTable[[#This Row],[Manufacturing Price]],DataTable[[#This Row],[COGS]]/DataTable[[#This Row],[Units Sold]])</f>
        <v>3</v>
      </c>
    </row>
    <row r="37" spans="1:19" ht="12.75" x14ac:dyDescent="0.2">
      <c r="A37" s="20">
        <v>41760</v>
      </c>
      <c r="B37" t="s">
        <v>391</v>
      </c>
      <c r="C37" t="s">
        <v>392</v>
      </c>
      <c r="D37" t="s">
        <v>352</v>
      </c>
      <c r="E37" t="str">
        <f>VLOOKUP(DataTable[[#This Row],[Country]],Market!B:C,2,FALSE)</f>
        <v>North America</v>
      </c>
      <c r="F37" s="24">
        <v>5</v>
      </c>
      <c r="G37" s="24">
        <v>7983</v>
      </c>
      <c r="H37" s="24">
        <v>12</v>
      </c>
      <c r="I37" s="27">
        <v>2661</v>
      </c>
      <c r="J37" s="24">
        <v>31932</v>
      </c>
      <c r="K37" s="24">
        <v>3831.84</v>
      </c>
      <c r="L37" s="1" t="s">
        <v>158</v>
      </c>
      <c r="M37" s="24">
        <v>28100.16</v>
      </c>
      <c r="N37" s="24">
        <f t="shared" si="0"/>
        <v>20117.16</v>
      </c>
      <c r="O37" t="str">
        <f>IF(DataTable[[#This Row],[Profit]]/DataTable[[#This Row],[COGS]]*100&gt;20,"Achived","Not Achived")</f>
        <v>Achived</v>
      </c>
      <c r="P37" s="25">
        <f>DataTable[[#This Row],[Profit]]/DataTable[[#This Row],[COGS]]</f>
        <v>2.52</v>
      </c>
      <c r="Q37">
        <f>DataTable[[#This Row],[Manufacturing Price]]*DataTable[[#This Row],[Units Sold]]</f>
        <v>13305</v>
      </c>
      <c r="R37" s="26">
        <f>DataTable[[#This Row],[COGS]]-DataTable[[#This Row],[MC_US]]</f>
        <v>-5322</v>
      </c>
      <c r="S37" s="26">
        <f>IF(DataTable[[#This Row],[COGS-MC_US]]&gt;=0,DataTable[[#This Row],[Manufacturing Price]],DataTable[[#This Row],[COGS]]/DataTable[[#This Row],[Units Sold]])</f>
        <v>3</v>
      </c>
    </row>
    <row r="38" spans="1:19" ht="12.75" x14ac:dyDescent="0.2">
      <c r="A38" s="20">
        <v>41791</v>
      </c>
      <c r="B38" t="s">
        <v>391</v>
      </c>
      <c r="C38" t="s">
        <v>392</v>
      </c>
      <c r="D38" t="s">
        <v>352</v>
      </c>
      <c r="E38" t="str">
        <f>VLOOKUP(DataTable[[#This Row],[Country]],Market!B:C,2,FALSE)</f>
        <v>North America</v>
      </c>
      <c r="F38" s="24">
        <v>5</v>
      </c>
      <c r="G38" s="24">
        <v>1812</v>
      </c>
      <c r="H38" s="24">
        <v>12</v>
      </c>
      <c r="I38" s="27">
        <v>604</v>
      </c>
      <c r="J38" s="24">
        <v>7248</v>
      </c>
      <c r="K38" s="24">
        <v>942.24</v>
      </c>
      <c r="L38" s="1" t="s">
        <v>158</v>
      </c>
      <c r="M38" s="24">
        <v>6305.76</v>
      </c>
      <c r="N38" s="24">
        <f t="shared" si="0"/>
        <v>4493.76</v>
      </c>
      <c r="O38" t="str">
        <f>IF(DataTable[[#This Row],[Profit]]/DataTable[[#This Row],[COGS]]*100&gt;20,"Achived","Not Achived")</f>
        <v>Achived</v>
      </c>
      <c r="P38" s="25">
        <f>DataTable[[#This Row],[Profit]]/DataTable[[#This Row],[COGS]]</f>
        <v>2.48</v>
      </c>
      <c r="Q38">
        <f>DataTable[[#This Row],[Manufacturing Price]]*DataTable[[#This Row],[Units Sold]]</f>
        <v>3020</v>
      </c>
      <c r="R38" s="26">
        <f>DataTable[[#This Row],[COGS]]-DataTable[[#This Row],[MC_US]]</f>
        <v>-1208</v>
      </c>
      <c r="S38" s="26">
        <f>IF(DataTable[[#This Row],[COGS-MC_US]]&gt;=0,DataTable[[#This Row],[Manufacturing Price]],DataTable[[#This Row],[COGS]]/DataTable[[#This Row],[Units Sold]])</f>
        <v>3</v>
      </c>
    </row>
    <row r="39" spans="1:19" ht="12.75" x14ac:dyDescent="0.2">
      <c r="A39" s="20">
        <v>41821</v>
      </c>
      <c r="B39" t="s">
        <v>395</v>
      </c>
      <c r="C39" t="s">
        <v>392</v>
      </c>
      <c r="D39" t="s">
        <v>352</v>
      </c>
      <c r="E39" t="str">
        <f>VLOOKUP(DataTable[[#This Row],[Country]],Market!B:C,2,FALSE)</f>
        <v>North America</v>
      </c>
      <c r="F39" s="24">
        <v>10</v>
      </c>
      <c r="G39" s="24">
        <v>1713</v>
      </c>
      <c r="H39" s="24">
        <v>12</v>
      </c>
      <c r="I39" s="27">
        <v>571</v>
      </c>
      <c r="J39" s="24">
        <v>6852</v>
      </c>
      <c r="K39" s="24">
        <v>890.76</v>
      </c>
      <c r="L39" s="1" t="s">
        <v>158</v>
      </c>
      <c r="M39" s="24">
        <v>5961.24</v>
      </c>
      <c r="N39" s="24">
        <f t="shared" si="0"/>
        <v>4248.24</v>
      </c>
      <c r="O39" t="str">
        <f>IF(DataTable[[#This Row],[Profit]]/DataTable[[#This Row],[COGS]]*100&gt;20,"Achived","Not Achived")</f>
        <v>Achived</v>
      </c>
      <c r="P39" s="25">
        <f>DataTable[[#This Row],[Profit]]/DataTable[[#This Row],[COGS]]</f>
        <v>2.48</v>
      </c>
      <c r="Q39">
        <f>DataTable[[#This Row],[Manufacturing Price]]*DataTable[[#This Row],[Units Sold]]</f>
        <v>5710</v>
      </c>
      <c r="R39" s="26">
        <f>DataTable[[#This Row],[COGS]]-DataTable[[#This Row],[MC_US]]</f>
        <v>-3997</v>
      </c>
      <c r="S39" s="26">
        <f>IF(DataTable[[#This Row],[COGS-MC_US]]&gt;=0,DataTable[[#This Row],[Manufacturing Price]],DataTable[[#This Row],[COGS]]/DataTable[[#This Row],[Units Sold]])</f>
        <v>3</v>
      </c>
    </row>
    <row r="40" spans="1:19" ht="12.75" x14ac:dyDescent="0.2">
      <c r="A40" s="20">
        <v>41791</v>
      </c>
      <c r="B40" t="s">
        <v>396</v>
      </c>
      <c r="C40" t="s">
        <v>392</v>
      </c>
      <c r="D40" t="s">
        <v>352</v>
      </c>
      <c r="E40" t="str">
        <f>VLOOKUP(DataTable[[#This Row],[Country]],Market!B:C,2,FALSE)</f>
        <v>North America</v>
      </c>
      <c r="F40" s="24">
        <v>120</v>
      </c>
      <c r="G40" s="24">
        <v>1812</v>
      </c>
      <c r="H40" s="24">
        <v>12</v>
      </c>
      <c r="I40" s="27">
        <v>604</v>
      </c>
      <c r="J40" s="24">
        <v>7248</v>
      </c>
      <c r="K40" s="24">
        <v>942.24</v>
      </c>
      <c r="L40" s="1" t="s">
        <v>158</v>
      </c>
      <c r="M40" s="24">
        <v>6305.76</v>
      </c>
      <c r="N40" s="24">
        <f t="shared" si="0"/>
        <v>4493.76</v>
      </c>
      <c r="O40" t="str">
        <f>IF(DataTable[[#This Row],[Profit]]/DataTable[[#This Row],[COGS]]*100&gt;20,"Achived","Not Achived")</f>
        <v>Achived</v>
      </c>
      <c r="P40" s="25">
        <f>DataTable[[#This Row],[Profit]]/DataTable[[#This Row],[COGS]]</f>
        <v>2.48</v>
      </c>
      <c r="Q40">
        <f>DataTable[[#This Row],[Manufacturing Price]]*DataTable[[#This Row],[Units Sold]]</f>
        <v>72480</v>
      </c>
      <c r="R40" s="26">
        <f>DataTable[[#This Row],[COGS]]-DataTable[[#This Row],[MC_US]]</f>
        <v>-70668</v>
      </c>
      <c r="S40" s="26">
        <f>IF(DataTable[[#This Row],[COGS-MC_US]]&gt;=0,DataTable[[#This Row],[Manufacturing Price]],DataTable[[#This Row],[COGS]]/DataTable[[#This Row],[Units Sold]])</f>
        <v>3</v>
      </c>
    </row>
    <row r="41" spans="1:19" ht="12.75" x14ac:dyDescent="0.2">
      <c r="A41" s="20">
        <v>41913</v>
      </c>
      <c r="B41" t="s">
        <v>396</v>
      </c>
      <c r="C41" t="s">
        <v>392</v>
      </c>
      <c r="D41" t="s">
        <v>352</v>
      </c>
      <c r="E41" t="str">
        <f>VLOOKUP(DataTable[[#This Row],[Country]],Market!B:C,2,FALSE)</f>
        <v>North America</v>
      </c>
      <c r="F41" s="24">
        <v>120</v>
      </c>
      <c r="G41" s="24">
        <v>1230</v>
      </c>
      <c r="H41" s="24">
        <v>12</v>
      </c>
      <c r="I41" s="27">
        <v>410</v>
      </c>
      <c r="J41" s="24">
        <v>4920</v>
      </c>
      <c r="K41" s="24">
        <v>639.6</v>
      </c>
      <c r="L41" s="1" t="s">
        <v>158</v>
      </c>
      <c r="M41" s="24">
        <v>4280.3999999999996</v>
      </c>
      <c r="N41" s="24">
        <f t="shared" si="0"/>
        <v>3050.3999999999996</v>
      </c>
      <c r="O41" t="str">
        <f>IF(DataTable[[#This Row],[Profit]]/DataTable[[#This Row],[COGS]]*100&gt;20,"Achived","Not Achived")</f>
        <v>Achived</v>
      </c>
      <c r="P41" s="25">
        <f>DataTable[[#This Row],[Profit]]/DataTable[[#This Row],[COGS]]</f>
        <v>2.4799999999999995</v>
      </c>
      <c r="Q41">
        <f>DataTable[[#This Row],[Manufacturing Price]]*DataTable[[#This Row],[Units Sold]]</f>
        <v>49200</v>
      </c>
      <c r="R41" s="26">
        <f>DataTable[[#This Row],[COGS]]-DataTable[[#This Row],[MC_US]]</f>
        <v>-47970</v>
      </c>
      <c r="S41" s="26">
        <f>IF(DataTable[[#This Row],[COGS-MC_US]]&gt;=0,DataTable[[#This Row],[Manufacturing Price]],DataTable[[#This Row],[COGS]]/DataTable[[#This Row],[Units Sold]])</f>
        <v>3</v>
      </c>
    </row>
    <row r="42" spans="1:19" ht="12.75" x14ac:dyDescent="0.2">
      <c r="A42" s="20">
        <v>41913</v>
      </c>
      <c r="B42" t="s">
        <v>398</v>
      </c>
      <c r="C42" t="s">
        <v>392</v>
      </c>
      <c r="D42" t="s">
        <v>352</v>
      </c>
      <c r="E42" t="str">
        <f>VLOOKUP(DataTable[[#This Row],[Country]],Market!B:C,2,FALSE)</f>
        <v>North America</v>
      </c>
      <c r="F42" s="24">
        <v>260</v>
      </c>
      <c r="G42" s="24">
        <v>1230</v>
      </c>
      <c r="H42" s="24">
        <v>12</v>
      </c>
      <c r="I42" s="27">
        <v>410</v>
      </c>
      <c r="J42" s="24">
        <v>4920</v>
      </c>
      <c r="K42" s="24">
        <v>639.6</v>
      </c>
      <c r="L42" s="1" t="s">
        <v>158</v>
      </c>
      <c r="M42" s="24">
        <v>4280.3999999999996</v>
      </c>
      <c r="N42" s="24">
        <f t="shared" si="0"/>
        <v>3050.3999999999996</v>
      </c>
      <c r="O42" t="str">
        <f>IF(DataTable[[#This Row],[Profit]]/DataTable[[#This Row],[COGS]]*100&gt;20,"Achived","Not Achived")</f>
        <v>Achived</v>
      </c>
      <c r="P42" s="25">
        <f>DataTable[[#This Row],[Profit]]/DataTable[[#This Row],[COGS]]</f>
        <v>2.4799999999999995</v>
      </c>
      <c r="Q42">
        <f>DataTable[[#This Row],[Manufacturing Price]]*DataTable[[#This Row],[Units Sold]]</f>
        <v>106600</v>
      </c>
      <c r="R42" s="26">
        <f>DataTable[[#This Row],[COGS]]-DataTable[[#This Row],[MC_US]]</f>
        <v>-105370</v>
      </c>
      <c r="S42" s="26">
        <f>IF(DataTable[[#This Row],[COGS-MC_US]]&gt;=0,DataTable[[#This Row],[Manufacturing Price]],DataTable[[#This Row],[COGS]]/DataTable[[#This Row],[Units Sold]])</f>
        <v>3</v>
      </c>
    </row>
    <row r="43" spans="1:19" ht="12.75" x14ac:dyDescent="0.2">
      <c r="A43" s="20">
        <v>41699</v>
      </c>
      <c r="B43" t="s">
        <v>396</v>
      </c>
      <c r="C43" t="s">
        <v>392</v>
      </c>
      <c r="D43" t="s">
        <v>352</v>
      </c>
      <c r="E43" t="str">
        <f>VLOOKUP(DataTable[[#This Row],[Country]],Market!B:C,2,FALSE)</f>
        <v>North America</v>
      </c>
      <c r="F43" s="24">
        <v>120</v>
      </c>
      <c r="G43" s="24">
        <v>1500</v>
      </c>
      <c r="H43" s="24">
        <v>12</v>
      </c>
      <c r="I43" s="27">
        <v>500</v>
      </c>
      <c r="J43" s="24">
        <v>6000</v>
      </c>
      <c r="K43" s="24">
        <v>900</v>
      </c>
      <c r="L43" s="1" t="s">
        <v>158</v>
      </c>
      <c r="M43" s="24">
        <v>5100</v>
      </c>
      <c r="N43" s="24">
        <f t="shared" si="0"/>
        <v>3600</v>
      </c>
      <c r="O43" t="str">
        <f>IF(DataTable[[#This Row],[Profit]]/DataTable[[#This Row],[COGS]]*100&gt;20,"Achived","Not Achived")</f>
        <v>Achived</v>
      </c>
      <c r="P43" s="25">
        <f>DataTable[[#This Row],[Profit]]/DataTable[[#This Row],[COGS]]</f>
        <v>2.4</v>
      </c>
      <c r="Q43">
        <f>DataTable[[#This Row],[Manufacturing Price]]*DataTable[[#This Row],[Units Sold]]</f>
        <v>60000</v>
      </c>
      <c r="R43" s="26">
        <f>DataTable[[#This Row],[COGS]]-DataTable[[#This Row],[MC_US]]</f>
        <v>-58500</v>
      </c>
      <c r="S43" s="26">
        <f>IF(DataTable[[#This Row],[COGS-MC_US]]&gt;=0,DataTable[[#This Row],[Manufacturing Price]],DataTable[[#This Row],[COGS]]/DataTable[[#This Row],[Units Sold]])</f>
        <v>3</v>
      </c>
    </row>
    <row r="44" spans="1:19" ht="12.75" hidden="1" x14ac:dyDescent="0.2">
      <c r="A44" s="20">
        <v>41791</v>
      </c>
      <c r="B44" t="s">
        <v>391</v>
      </c>
      <c r="C44" t="s">
        <v>392</v>
      </c>
      <c r="D44" t="s">
        <v>305</v>
      </c>
      <c r="E44" t="str">
        <f>VLOOKUP(DataTable[[#This Row],[Country]],Market!B:C,2,FALSE)</f>
        <v>Europe</v>
      </c>
      <c r="F44" s="24">
        <v>5</v>
      </c>
      <c r="G44" s="24">
        <v>4635</v>
      </c>
      <c r="H44" s="24">
        <v>12</v>
      </c>
      <c r="I44" s="27">
        <v>1545</v>
      </c>
      <c r="J44" s="24">
        <v>18540</v>
      </c>
      <c r="K44" s="24">
        <v>0</v>
      </c>
      <c r="L44" s="1" t="s">
        <v>12</v>
      </c>
      <c r="M44" s="24">
        <v>18540</v>
      </c>
      <c r="N44" s="24">
        <f t="shared" si="0"/>
        <v>13905</v>
      </c>
      <c r="O44" t="str">
        <f>IF(DataTable[[#This Row],[Profit]]/DataTable[[#This Row],[COGS]]*100&gt;20,"Achived","Not Achived")</f>
        <v>Achived</v>
      </c>
      <c r="P44" s="25">
        <f>DataTable[[#This Row],[Profit]]/DataTable[[#This Row],[COGS]]</f>
        <v>3</v>
      </c>
      <c r="Q44">
        <f>DataTable[[#This Row],[Manufacturing Price]]*DataTable[[#This Row],[Units Sold]]</f>
        <v>7725</v>
      </c>
      <c r="R44" s="26">
        <f>DataTable[[#This Row],[COGS]]-DataTable[[#This Row],[MC_US]]</f>
        <v>-3090</v>
      </c>
      <c r="S44" s="26">
        <f>IF(DataTable[[#This Row],[COGS-MC_US]]&gt;=0,DataTable[[#This Row],[Manufacturing Price]],DataTable[[#This Row],[COGS]]/DataTable[[#This Row],[Units Sold]])</f>
        <v>3</v>
      </c>
    </row>
    <row r="45" spans="1:19" ht="12.75" hidden="1" x14ac:dyDescent="0.2">
      <c r="A45" s="20">
        <v>41821</v>
      </c>
      <c r="B45" t="s">
        <v>395</v>
      </c>
      <c r="C45" t="s">
        <v>392</v>
      </c>
      <c r="D45" t="s">
        <v>305</v>
      </c>
      <c r="E45" t="str">
        <f>VLOOKUP(DataTable[[#This Row],[Country]],Market!B:C,2,FALSE)</f>
        <v>Europe</v>
      </c>
      <c r="F45" s="24">
        <v>10</v>
      </c>
      <c r="G45" s="24">
        <v>1101</v>
      </c>
      <c r="H45" s="24">
        <v>12</v>
      </c>
      <c r="I45" s="27">
        <v>367</v>
      </c>
      <c r="J45" s="24">
        <v>4404</v>
      </c>
      <c r="K45" s="24">
        <v>0</v>
      </c>
      <c r="L45" s="1" t="s">
        <v>12</v>
      </c>
      <c r="M45" s="24">
        <v>4404</v>
      </c>
      <c r="N45" s="24">
        <f t="shared" si="0"/>
        <v>3303</v>
      </c>
      <c r="O45" t="str">
        <f>IF(DataTable[[#This Row],[Profit]]/DataTable[[#This Row],[COGS]]*100&gt;20,"Achived","Not Achived")</f>
        <v>Achived</v>
      </c>
      <c r="P45" s="25">
        <f>DataTable[[#This Row],[Profit]]/DataTable[[#This Row],[COGS]]</f>
        <v>3</v>
      </c>
      <c r="Q45">
        <f>DataTable[[#This Row],[Manufacturing Price]]*DataTable[[#This Row],[Units Sold]]</f>
        <v>3670</v>
      </c>
      <c r="R45" s="26">
        <f>DataTable[[#This Row],[COGS]]-DataTable[[#This Row],[MC_US]]</f>
        <v>-2569</v>
      </c>
      <c r="S45" s="26">
        <f>IF(DataTable[[#This Row],[COGS-MC_US]]&gt;=0,DataTable[[#This Row],[Manufacturing Price]],DataTable[[#This Row],[COGS]]/DataTable[[#This Row],[Units Sold]])</f>
        <v>3</v>
      </c>
    </row>
    <row r="46" spans="1:19" ht="12.75" hidden="1" x14ac:dyDescent="0.2">
      <c r="A46" s="20">
        <v>41699</v>
      </c>
      <c r="B46" t="s">
        <v>396</v>
      </c>
      <c r="C46" t="s">
        <v>392</v>
      </c>
      <c r="D46" t="s">
        <v>305</v>
      </c>
      <c r="E46" t="str">
        <f>VLOOKUP(DataTable[[#This Row],[Country]],Market!B:C,2,FALSE)</f>
        <v>Europe</v>
      </c>
      <c r="F46" s="24">
        <v>120</v>
      </c>
      <c r="G46" s="24">
        <v>6483</v>
      </c>
      <c r="H46" s="24">
        <v>12</v>
      </c>
      <c r="I46" s="27">
        <v>2161</v>
      </c>
      <c r="J46" s="24">
        <v>25932</v>
      </c>
      <c r="K46" s="24">
        <v>0</v>
      </c>
      <c r="L46" s="1" t="s">
        <v>12</v>
      </c>
      <c r="M46" s="24">
        <v>25932</v>
      </c>
      <c r="N46" s="24">
        <f t="shared" si="0"/>
        <v>19449</v>
      </c>
      <c r="O46" t="str">
        <f>IF(DataTable[[#This Row],[Profit]]/DataTable[[#This Row],[COGS]]*100&gt;20,"Achived","Not Achived")</f>
        <v>Achived</v>
      </c>
      <c r="P46" s="25">
        <f>DataTable[[#This Row],[Profit]]/DataTable[[#This Row],[COGS]]</f>
        <v>3</v>
      </c>
      <c r="Q46">
        <f>DataTable[[#This Row],[Manufacturing Price]]*DataTable[[#This Row],[Units Sold]]</f>
        <v>259320</v>
      </c>
      <c r="R46" s="26">
        <f>DataTable[[#This Row],[COGS]]-DataTable[[#This Row],[MC_US]]</f>
        <v>-252837</v>
      </c>
      <c r="S46" s="26">
        <f>IF(DataTable[[#This Row],[COGS-MC_US]]&gt;=0,DataTable[[#This Row],[Manufacturing Price]],DataTable[[#This Row],[COGS]]/DataTable[[#This Row],[Units Sold]])</f>
        <v>3</v>
      </c>
    </row>
    <row r="47" spans="1:19" ht="12.75" hidden="1" x14ac:dyDescent="0.2">
      <c r="A47" s="20">
        <v>41791</v>
      </c>
      <c r="B47" t="s">
        <v>396</v>
      </c>
      <c r="C47" t="s">
        <v>392</v>
      </c>
      <c r="D47" t="s">
        <v>305</v>
      </c>
      <c r="E47" t="str">
        <f>VLOOKUP(DataTable[[#This Row],[Country]],Market!B:C,2,FALSE)</f>
        <v>Europe</v>
      </c>
      <c r="F47" s="24">
        <v>120</v>
      </c>
      <c r="G47" s="24">
        <v>4635</v>
      </c>
      <c r="H47" s="24">
        <v>12</v>
      </c>
      <c r="I47" s="27">
        <v>1545</v>
      </c>
      <c r="J47" s="24">
        <v>18540</v>
      </c>
      <c r="K47" s="24">
        <v>0</v>
      </c>
      <c r="L47" s="1" t="s">
        <v>12</v>
      </c>
      <c r="M47" s="24">
        <v>18540</v>
      </c>
      <c r="N47" s="24">
        <f t="shared" si="0"/>
        <v>13905</v>
      </c>
      <c r="O47" t="str">
        <f>IF(DataTable[[#This Row],[Profit]]/DataTable[[#This Row],[COGS]]*100&gt;20,"Achived","Not Achived")</f>
        <v>Achived</v>
      </c>
      <c r="P47" s="25">
        <f>DataTable[[#This Row],[Profit]]/DataTable[[#This Row],[COGS]]</f>
        <v>3</v>
      </c>
      <c r="Q47">
        <f>DataTable[[#This Row],[Manufacturing Price]]*DataTable[[#This Row],[Units Sold]]</f>
        <v>185400</v>
      </c>
      <c r="R47" s="26">
        <f>DataTable[[#This Row],[COGS]]-DataTable[[#This Row],[MC_US]]</f>
        <v>-180765</v>
      </c>
      <c r="S47" s="26">
        <f>IF(DataTable[[#This Row],[COGS-MC_US]]&gt;=0,DataTable[[#This Row],[Manufacturing Price]],DataTable[[#This Row],[COGS]]/DataTable[[#This Row],[Units Sold]])</f>
        <v>3</v>
      </c>
    </row>
    <row r="48" spans="1:19" ht="12.75" hidden="1" x14ac:dyDescent="0.2">
      <c r="A48" s="20">
        <v>41730</v>
      </c>
      <c r="B48" t="s">
        <v>397</v>
      </c>
      <c r="C48" t="s">
        <v>392</v>
      </c>
      <c r="D48" t="s">
        <v>305</v>
      </c>
      <c r="E48" t="str">
        <f>VLOOKUP(DataTable[[#This Row],[Country]],Market!B:C,2,FALSE)</f>
        <v>Europe</v>
      </c>
      <c r="F48" s="24">
        <v>250</v>
      </c>
      <c r="G48" s="24">
        <v>8514</v>
      </c>
      <c r="H48" s="24">
        <v>12</v>
      </c>
      <c r="I48" s="27">
        <v>2838</v>
      </c>
      <c r="J48" s="24">
        <v>34056</v>
      </c>
      <c r="K48" s="24">
        <v>0</v>
      </c>
      <c r="L48" s="1" t="s">
        <v>12</v>
      </c>
      <c r="M48" s="24">
        <v>34056</v>
      </c>
      <c r="N48" s="24">
        <f t="shared" si="0"/>
        <v>25542</v>
      </c>
      <c r="O48" t="str">
        <f>IF(DataTable[[#This Row],[Profit]]/DataTable[[#This Row],[COGS]]*100&gt;20,"Achived","Not Achived")</f>
        <v>Achived</v>
      </c>
      <c r="P48" s="25">
        <f>DataTable[[#This Row],[Profit]]/DataTable[[#This Row],[COGS]]</f>
        <v>3</v>
      </c>
      <c r="Q48">
        <f>DataTable[[#This Row],[Manufacturing Price]]*DataTable[[#This Row],[Units Sold]]</f>
        <v>709500</v>
      </c>
      <c r="R48" s="26">
        <f>DataTable[[#This Row],[COGS]]-DataTable[[#This Row],[MC_US]]</f>
        <v>-700986</v>
      </c>
      <c r="S48" s="26">
        <f>IF(DataTable[[#This Row],[COGS-MC_US]]&gt;=0,DataTable[[#This Row],[Manufacturing Price]],DataTable[[#This Row],[COGS]]/DataTable[[#This Row],[Units Sold]])</f>
        <v>3</v>
      </c>
    </row>
    <row r="49" spans="1:19" ht="12.75" hidden="1" x14ac:dyDescent="0.2">
      <c r="A49" s="20">
        <v>41548</v>
      </c>
      <c r="B49" t="s">
        <v>389</v>
      </c>
      <c r="C49" t="s">
        <v>392</v>
      </c>
      <c r="D49" t="s">
        <v>305</v>
      </c>
      <c r="E49" t="str">
        <f>VLOOKUP(DataTable[[#This Row],[Country]],Market!B:C,2,FALSE)</f>
        <v>Europe</v>
      </c>
      <c r="F49" s="24">
        <v>3</v>
      </c>
      <c r="G49" s="24">
        <v>2298</v>
      </c>
      <c r="H49" s="24">
        <v>12</v>
      </c>
      <c r="I49" s="27">
        <v>766</v>
      </c>
      <c r="J49" s="24">
        <v>9192</v>
      </c>
      <c r="K49" s="24">
        <v>91.92</v>
      </c>
      <c r="L49" s="1" t="s">
        <v>57</v>
      </c>
      <c r="M49" s="24">
        <v>9100.08</v>
      </c>
      <c r="N49" s="24">
        <f t="shared" si="0"/>
        <v>6802.08</v>
      </c>
      <c r="O49" t="str">
        <f>IF(DataTable[[#This Row],[Profit]]/DataTable[[#This Row],[COGS]]*100&gt;20,"Achived","Not Achived")</f>
        <v>Achived</v>
      </c>
      <c r="P49" s="25">
        <f>DataTable[[#This Row],[Profit]]/DataTable[[#This Row],[COGS]]</f>
        <v>2.96</v>
      </c>
      <c r="Q49">
        <f>DataTable[[#This Row],[Manufacturing Price]]*DataTable[[#This Row],[Units Sold]]</f>
        <v>2298</v>
      </c>
      <c r="R49" s="26">
        <f>DataTable[[#This Row],[COGS]]-DataTable[[#This Row],[MC_US]]</f>
        <v>0</v>
      </c>
      <c r="S49" s="26">
        <f>IF(DataTable[[#This Row],[COGS-MC_US]]&gt;=0,DataTable[[#This Row],[Manufacturing Price]],DataTable[[#This Row],[COGS]]/DataTable[[#This Row],[Units Sold]])</f>
        <v>3</v>
      </c>
    </row>
    <row r="50" spans="1:19" ht="12.75" hidden="1" x14ac:dyDescent="0.2">
      <c r="A50" s="20">
        <v>41548</v>
      </c>
      <c r="B50" t="s">
        <v>395</v>
      </c>
      <c r="C50" t="s">
        <v>392</v>
      </c>
      <c r="D50" t="s">
        <v>305</v>
      </c>
      <c r="E50" t="str">
        <f>VLOOKUP(DataTable[[#This Row],[Country]],Market!B:C,2,FALSE)</f>
        <v>Europe</v>
      </c>
      <c r="F50" s="24">
        <v>10</v>
      </c>
      <c r="G50" s="24">
        <v>2298</v>
      </c>
      <c r="H50" s="24">
        <v>12</v>
      </c>
      <c r="I50" s="27">
        <v>766</v>
      </c>
      <c r="J50" s="24">
        <v>9192</v>
      </c>
      <c r="K50" s="24">
        <v>91.92</v>
      </c>
      <c r="L50" s="1" t="s">
        <v>57</v>
      </c>
      <c r="M50" s="24">
        <v>9100.08</v>
      </c>
      <c r="N50" s="24">
        <f t="shared" si="0"/>
        <v>6802.08</v>
      </c>
      <c r="O50" t="str">
        <f>IF(DataTable[[#This Row],[Profit]]/DataTable[[#This Row],[COGS]]*100&gt;20,"Achived","Not Achived")</f>
        <v>Achived</v>
      </c>
      <c r="P50" s="25">
        <f>DataTable[[#This Row],[Profit]]/DataTable[[#This Row],[COGS]]</f>
        <v>2.96</v>
      </c>
      <c r="Q50">
        <f>DataTable[[#This Row],[Manufacturing Price]]*DataTable[[#This Row],[Units Sold]]</f>
        <v>7660</v>
      </c>
      <c r="R50" s="26">
        <f>DataTable[[#This Row],[COGS]]-DataTable[[#This Row],[MC_US]]</f>
        <v>-5362</v>
      </c>
      <c r="S50" s="26">
        <f>IF(DataTable[[#This Row],[COGS-MC_US]]&gt;=0,DataTable[[#This Row],[Manufacturing Price]],DataTable[[#This Row],[COGS]]/DataTable[[#This Row],[Units Sold]])</f>
        <v>3</v>
      </c>
    </row>
    <row r="51" spans="1:19" ht="12.75" hidden="1" x14ac:dyDescent="0.2">
      <c r="A51" s="20">
        <v>41640</v>
      </c>
      <c r="B51" t="s">
        <v>397</v>
      </c>
      <c r="C51" t="s">
        <v>392</v>
      </c>
      <c r="D51" t="s">
        <v>305</v>
      </c>
      <c r="E51" t="str">
        <f>VLOOKUP(DataTable[[#This Row],[Country]],Market!B:C,2,FALSE)</f>
        <v>Europe</v>
      </c>
      <c r="F51" s="24">
        <v>250</v>
      </c>
      <c r="G51" s="24">
        <v>7437</v>
      </c>
      <c r="H51" s="24">
        <v>12</v>
      </c>
      <c r="I51" s="27">
        <v>2479</v>
      </c>
      <c r="J51" s="24">
        <v>29748</v>
      </c>
      <c r="K51" s="24">
        <v>892.44</v>
      </c>
      <c r="L51" s="1" t="s">
        <v>57</v>
      </c>
      <c r="M51" s="24">
        <v>28855.56</v>
      </c>
      <c r="N51" s="24">
        <f t="shared" si="0"/>
        <v>21418.560000000001</v>
      </c>
      <c r="O51" t="str">
        <f>IF(DataTable[[#This Row],[Profit]]/DataTable[[#This Row],[COGS]]*100&gt;20,"Achived","Not Achived")</f>
        <v>Achived</v>
      </c>
      <c r="P51" s="25">
        <f>DataTable[[#This Row],[Profit]]/DataTable[[#This Row],[COGS]]</f>
        <v>2.8800000000000003</v>
      </c>
      <c r="Q51">
        <f>DataTable[[#This Row],[Manufacturing Price]]*DataTable[[#This Row],[Units Sold]]</f>
        <v>619750</v>
      </c>
      <c r="R51" s="26">
        <f>DataTable[[#This Row],[COGS]]-DataTable[[#This Row],[MC_US]]</f>
        <v>-612313</v>
      </c>
      <c r="S51" s="26">
        <f>IF(DataTable[[#This Row],[COGS-MC_US]]&gt;=0,DataTable[[#This Row],[Manufacturing Price]],DataTable[[#This Row],[COGS]]/DataTable[[#This Row],[Units Sold]])</f>
        <v>3</v>
      </c>
    </row>
    <row r="52" spans="1:19" ht="12.75" hidden="1" x14ac:dyDescent="0.2">
      <c r="A52" s="20">
        <v>41671</v>
      </c>
      <c r="B52" t="s">
        <v>389</v>
      </c>
      <c r="C52" t="s">
        <v>392</v>
      </c>
      <c r="D52" t="s">
        <v>305</v>
      </c>
      <c r="E52" t="str">
        <f>VLOOKUP(DataTable[[#This Row],[Country]],Market!B:C,2,FALSE)</f>
        <v>Europe</v>
      </c>
      <c r="F52" s="24">
        <v>3</v>
      </c>
      <c r="G52" s="24">
        <v>3348</v>
      </c>
      <c r="H52" s="24">
        <v>12</v>
      </c>
      <c r="I52" s="27">
        <v>1116</v>
      </c>
      <c r="J52" s="24">
        <v>13392</v>
      </c>
      <c r="K52" s="24">
        <v>669.6</v>
      </c>
      <c r="L52" s="1" t="s">
        <v>124</v>
      </c>
      <c r="M52" s="24">
        <v>12722.4</v>
      </c>
      <c r="N52" s="24">
        <f t="shared" si="0"/>
        <v>9374.4</v>
      </c>
      <c r="O52" t="str">
        <f>IF(DataTable[[#This Row],[Profit]]/DataTable[[#This Row],[COGS]]*100&gt;20,"Achived","Not Achived")</f>
        <v>Achived</v>
      </c>
      <c r="P52" s="25">
        <f>DataTable[[#This Row],[Profit]]/DataTable[[#This Row],[COGS]]</f>
        <v>2.8</v>
      </c>
      <c r="Q52">
        <f>DataTable[[#This Row],[Manufacturing Price]]*DataTable[[#This Row],[Units Sold]]</f>
        <v>3348</v>
      </c>
      <c r="R52" s="26">
        <f>DataTable[[#This Row],[COGS]]-DataTable[[#This Row],[MC_US]]</f>
        <v>0</v>
      </c>
      <c r="S52" s="26">
        <f>IF(DataTable[[#This Row],[COGS-MC_US]]&gt;=0,DataTable[[#This Row],[Manufacturing Price]],DataTable[[#This Row],[COGS]]/DataTable[[#This Row],[Units Sold]])</f>
        <v>3</v>
      </c>
    </row>
    <row r="53" spans="1:19" ht="12.75" hidden="1" x14ac:dyDescent="0.2">
      <c r="A53" s="20">
        <v>41944</v>
      </c>
      <c r="B53" t="s">
        <v>391</v>
      </c>
      <c r="C53" t="s">
        <v>392</v>
      </c>
      <c r="D53" t="s">
        <v>305</v>
      </c>
      <c r="E53" t="str">
        <f>VLOOKUP(DataTable[[#This Row],[Country]],Market!B:C,2,FALSE)</f>
        <v>Europe</v>
      </c>
      <c r="F53" s="24">
        <v>5</v>
      </c>
      <c r="G53" s="24">
        <v>7026</v>
      </c>
      <c r="H53" s="24">
        <v>12</v>
      </c>
      <c r="I53" s="27">
        <v>2342</v>
      </c>
      <c r="J53" s="24">
        <v>28104</v>
      </c>
      <c r="K53" s="24">
        <v>1405.2</v>
      </c>
      <c r="L53" s="1" t="s">
        <v>124</v>
      </c>
      <c r="M53" s="24">
        <v>26698.799999999999</v>
      </c>
      <c r="N53" s="24">
        <f t="shared" si="0"/>
        <v>19672.8</v>
      </c>
      <c r="O53" t="str">
        <f>IF(DataTable[[#This Row],[Profit]]/DataTable[[#This Row],[COGS]]*100&gt;20,"Achived","Not Achived")</f>
        <v>Achived</v>
      </c>
      <c r="P53" s="25">
        <f>DataTable[[#This Row],[Profit]]/DataTable[[#This Row],[COGS]]</f>
        <v>2.8</v>
      </c>
      <c r="Q53">
        <f>DataTable[[#This Row],[Manufacturing Price]]*DataTable[[#This Row],[Units Sold]]</f>
        <v>11710</v>
      </c>
      <c r="R53" s="26">
        <f>DataTable[[#This Row],[COGS]]-DataTable[[#This Row],[MC_US]]</f>
        <v>-4684</v>
      </c>
      <c r="S53" s="26">
        <f>IF(DataTable[[#This Row],[COGS-MC_US]]&gt;=0,DataTable[[#This Row],[Manufacturing Price]],DataTable[[#This Row],[COGS]]/DataTable[[#This Row],[Units Sold]])</f>
        <v>3</v>
      </c>
    </row>
    <row r="54" spans="1:19" ht="12.75" hidden="1" x14ac:dyDescent="0.2">
      <c r="A54" s="20">
        <v>41518</v>
      </c>
      <c r="B54" t="s">
        <v>397</v>
      </c>
      <c r="C54" t="s">
        <v>392</v>
      </c>
      <c r="D54" t="s">
        <v>305</v>
      </c>
      <c r="E54" t="str">
        <f>VLOOKUP(DataTable[[#This Row],[Country]],Market!B:C,2,FALSE)</f>
        <v>Europe</v>
      </c>
      <c r="F54" s="24">
        <v>250</v>
      </c>
      <c r="G54" s="24">
        <v>6645</v>
      </c>
      <c r="H54" s="24">
        <v>12</v>
      </c>
      <c r="I54" s="27">
        <v>2215</v>
      </c>
      <c r="J54" s="24">
        <v>26580</v>
      </c>
      <c r="K54" s="24">
        <v>1860.6</v>
      </c>
      <c r="L54" s="1" t="s">
        <v>124</v>
      </c>
      <c r="M54" s="24">
        <v>24719.4</v>
      </c>
      <c r="N54" s="24">
        <f t="shared" si="0"/>
        <v>18074.400000000001</v>
      </c>
      <c r="O54" t="str">
        <f>IF(DataTable[[#This Row],[Profit]]/DataTable[[#This Row],[COGS]]*100&gt;20,"Achived","Not Achived")</f>
        <v>Achived</v>
      </c>
      <c r="P54" s="25">
        <f>DataTable[[#This Row],[Profit]]/DataTable[[#This Row],[COGS]]</f>
        <v>2.72</v>
      </c>
      <c r="Q54">
        <f>DataTable[[#This Row],[Manufacturing Price]]*DataTable[[#This Row],[Units Sold]]</f>
        <v>553750</v>
      </c>
      <c r="R54" s="26">
        <f>DataTable[[#This Row],[COGS]]-DataTable[[#This Row],[MC_US]]</f>
        <v>-547105</v>
      </c>
      <c r="S54" s="26">
        <f>IF(DataTable[[#This Row],[COGS-MC_US]]&gt;=0,DataTable[[#This Row],[Manufacturing Price]],DataTable[[#This Row],[COGS]]/DataTable[[#This Row],[Units Sold]])</f>
        <v>3</v>
      </c>
    </row>
    <row r="55" spans="1:19" ht="12.75" hidden="1" x14ac:dyDescent="0.2">
      <c r="A55" s="20">
        <v>41579</v>
      </c>
      <c r="B55" t="s">
        <v>395</v>
      </c>
      <c r="C55" t="s">
        <v>392</v>
      </c>
      <c r="D55" t="s">
        <v>305</v>
      </c>
      <c r="E55" t="str">
        <f>VLOOKUP(DataTable[[#This Row],[Country]],Market!B:C,2,FALSE)</f>
        <v>Europe</v>
      </c>
      <c r="F55" s="24">
        <v>10</v>
      </c>
      <c r="G55" s="24">
        <v>5325</v>
      </c>
      <c r="H55" s="24">
        <v>12</v>
      </c>
      <c r="I55" s="27">
        <v>1775</v>
      </c>
      <c r="J55" s="24">
        <v>21300</v>
      </c>
      <c r="K55" s="24">
        <v>1917</v>
      </c>
      <c r="L55" s="1" t="s">
        <v>124</v>
      </c>
      <c r="M55" s="24">
        <v>19383</v>
      </c>
      <c r="N55" s="24">
        <f t="shared" si="0"/>
        <v>14058</v>
      </c>
      <c r="O55" t="str">
        <f>IF(DataTable[[#This Row],[Profit]]/DataTable[[#This Row],[COGS]]*100&gt;20,"Achived","Not Achived")</f>
        <v>Achived</v>
      </c>
      <c r="P55" s="25">
        <f>DataTable[[#This Row],[Profit]]/DataTable[[#This Row],[COGS]]</f>
        <v>2.64</v>
      </c>
      <c r="Q55">
        <f>DataTable[[#This Row],[Manufacturing Price]]*DataTable[[#This Row],[Units Sold]]</f>
        <v>17750</v>
      </c>
      <c r="R55" s="26">
        <f>DataTable[[#This Row],[COGS]]-DataTable[[#This Row],[MC_US]]</f>
        <v>-12425</v>
      </c>
      <c r="S55" s="26">
        <f>IF(DataTable[[#This Row],[COGS-MC_US]]&gt;=0,DataTable[[#This Row],[Manufacturing Price]],DataTable[[#This Row],[COGS]]/DataTable[[#This Row],[Units Sold]])</f>
        <v>3</v>
      </c>
    </row>
    <row r="56" spans="1:19" ht="12.75" hidden="1" x14ac:dyDescent="0.2">
      <c r="A56" s="20">
        <v>41760</v>
      </c>
      <c r="B56" t="s">
        <v>397</v>
      </c>
      <c r="C56" t="s">
        <v>392</v>
      </c>
      <c r="D56" t="s">
        <v>305</v>
      </c>
      <c r="E56" t="str">
        <f>VLOOKUP(DataTable[[#This Row],[Country]],Market!B:C,2,FALSE)</f>
        <v>Europe</v>
      </c>
      <c r="F56" s="24">
        <v>250</v>
      </c>
      <c r="G56" s="24">
        <v>2640</v>
      </c>
      <c r="H56" s="24">
        <v>12</v>
      </c>
      <c r="I56" s="27">
        <v>880</v>
      </c>
      <c r="J56" s="24">
        <v>10560</v>
      </c>
      <c r="K56" s="24">
        <v>950.4</v>
      </c>
      <c r="L56" s="1" t="s">
        <v>124</v>
      </c>
      <c r="M56" s="24">
        <v>9609.6</v>
      </c>
      <c r="N56" s="24">
        <f t="shared" si="0"/>
        <v>6969.6</v>
      </c>
      <c r="O56" t="str">
        <f>IF(DataTable[[#This Row],[Profit]]/DataTable[[#This Row],[COGS]]*100&gt;20,"Achived","Not Achived")</f>
        <v>Achived</v>
      </c>
      <c r="P56" s="25">
        <f>DataTable[[#This Row],[Profit]]/DataTable[[#This Row],[COGS]]</f>
        <v>2.64</v>
      </c>
      <c r="Q56">
        <f>DataTable[[#This Row],[Manufacturing Price]]*DataTable[[#This Row],[Units Sold]]</f>
        <v>220000</v>
      </c>
      <c r="R56" s="26">
        <f>DataTable[[#This Row],[COGS]]-DataTable[[#This Row],[MC_US]]</f>
        <v>-217360</v>
      </c>
      <c r="S56" s="26">
        <f>IF(DataTable[[#This Row],[COGS-MC_US]]&gt;=0,DataTable[[#This Row],[Manufacturing Price]],DataTable[[#This Row],[COGS]]/DataTable[[#This Row],[Units Sold]])</f>
        <v>3</v>
      </c>
    </row>
    <row r="57" spans="1:19" ht="12.75" hidden="1" x14ac:dyDescent="0.2">
      <c r="A57" s="20">
        <v>41883</v>
      </c>
      <c r="B57" t="s">
        <v>389</v>
      </c>
      <c r="C57" t="s">
        <v>392</v>
      </c>
      <c r="D57" t="s">
        <v>305</v>
      </c>
      <c r="E57" t="str">
        <f>VLOOKUP(DataTable[[#This Row],[Country]],Market!B:C,2,FALSE)</f>
        <v>Europe</v>
      </c>
      <c r="F57" s="24">
        <v>3</v>
      </c>
      <c r="G57" s="24">
        <v>4740</v>
      </c>
      <c r="H57" s="24">
        <v>12</v>
      </c>
      <c r="I57" s="27">
        <v>1580</v>
      </c>
      <c r="J57" s="24">
        <v>18960</v>
      </c>
      <c r="K57" s="24">
        <v>1706.4</v>
      </c>
      <c r="L57" s="1" t="s">
        <v>124</v>
      </c>
      <c r="M57" s="24">
        <v>17253.599999999999</v>
      </c>
      <c r="N57" s="24">
        <f t="shared" si="0"/>
        <v>12513.599999999999</v>
      </c>
      <c r="O57" t="str">
        <f>IF(DataTable[[#This Row],[Profit]]/DataTable[[#This Row],[COGS]]*100&gt;20,"Achived","Not Achived")</f>
        <v>Achived</v>
      </c>
      <c r="P57" s="25">
        <f>DataTable[[#This Row],[Profit]]/DataTable[[#This Row],[COGS]]</f>
        <v>2.6399999999999997</v>
      </c>
      <c r="Q57">
        <f>DataTable[[#This Row],[Manufacturing Price]]*DataTable[[#This Row],[Units Sold]]</f>
        <v>4740</v>
      </c>
      <c r="R57" s="26">
        <f>DataTable[[#This Row],[COGS]]-DataTable[[#This Row],[MC_US]]</f>
        <v>0</v>
      </c>
      <c r="S57" s="26">
        <f>IF(DataTable[[#This Row],[COGS-MC_US]]&gt;=0,DataTable[[#This Row],[Manufacturing Price]],DataTable[[#This Row],[COGS]]/DataTable[[#This Row],[Units Sold]])</f>
        <v>3</v>
      </c>
    </row>
    <row r="58" spans="1:19" ht="12.75" x14ac:dyDescent="0.2">
      <c r="A58" s="20">
        <v>41852</v>
      </c>
      <c r="B58" t="s">
        <v>398</v>
      </c>
      <c r="C58" t="s">
        <v>392</v>
      </c>
      <c r="D58" t="s">
        <v>305</v>
      </c>
      <c r="E58" t="str">
        <f>VLOOKUP(DataTable[[#This Row],[Country]],Market!B:C,2,FALSE)</f>
        <v>Europe</v>
      </c>
      <c r="F58" s="24">
        <v>260</v>
      </c>
      <c r="G58" s="24">
        <v>7722</v>
      </c>
      <c r="H58" s="24">
        <v>12</v>
      </c>
      <c r="I58" s="27">
        <v>2574</v>
      </c>
      <c r="J58" s="24">
        <v>30888</v>
      </c>
      <c r="K58" s="24">
        <v>3088.8</v>
      </c>
      <c r="L58" s="1" t="s">
        <v>158</v>
      </c>
      <c r="M58" s="24">
        <v>27799.200000000001</v>
      </c>
      <c r="N58" s="24">
        <f t="shared" si="0"/>
        <v>20077.2</v>
      </c>
      <c r="O58" t="str">
        <f>IF(DataTable[[#This Row],[Profit]]/DataTable[[#This Row],[COGS]]*100&gt;20,"Achived","Not Achived")</f>
        <v>Achived</v>
      </c>
      <c r="P58" s="25">
        <f>DataTable[[#This Row],[Profit]]/DataTable[[#This Row],[COGS]]</f>
        <v>2.6</v>
      </c>
      <c r="Q58">
        <f>DataTable[[#This Row],[Manufacturing Price]]*DataTable[[#This Row],[Units Sold]]</f>
        <v>669240</v>
      </c>
      <c r="R58" s="26">
        <f>DataTable[[#This Row],[COGS]]-DataTable[[#This Row],[MC_US]]</f>
        <v>-661518</v>
      </c>
      <c r="S58" s="26">
        <f>IF(DataTable[[#This Row],[COGS-MC_US]]&gt;=0,DataTable[[#This Row],[Manufacturing Price]],DataTable[[#This Row],[COGS]]/DataTable[[#This Row],[Units Sold]])</f>
        <v>3</v>
      </c>
    </row>
    <row r="59" spans="1:19" ht="12.75" x14ac:dyDescent="0.2">
      <c r="A59" s="20">
        <v>41913</v>
      </c>
      <c r="B59" t="s">
        <v>396</v>
      </c>
      <c r="C59" t="s">
        <v>392</v>
      </c>
      <c r="D59" t="s">
        <v>305</v>
      </c>
      <c r="E59" t="str">
        <f>VLOOKUP(DataTable[[#This Row],[Country]],Market!B:C,2,FALSE)</f>
        <v>Europe</v>
      </c>
      <c r="F59" s="24">
        <v>120</v>
      </c>
      <c r="G59" s="24">
        <v>1416</v>
      </c>
      <c r="H59" s="24">
        <v>12</v>
      </c>
      <c r="I59" s="27">
        <v>472</v>
      </c>
      <c r="J59" s="24">
        <v>5664</v>
      </c>
      <c r="K59" s="24">
        <v>623.04</v>
      </c>
      <c r="L59" s="1" t="s">
        <v>158</v>
      </c>
      <c r="M59" s="24">
        <v>5040.96</v>
      </c>
      <c r="N59" s="24">
        <f t="shared" si="0"/>
        <v>3624.96</v>
      </c>
      <c r="O59" t="str">
        <f>IF(DataTable[[#This Row],[Profit]]/DataTable[[#This Row],[COGS]]*100&gt;20,"Achived","Not Achived")</f>
        <v>Achived</v>
      </c>
      <c r="P59" s="25">
        <f>DataTable[[#This Row],[Profit]]/DataTable[[#This Row],[COGS]]</f>
        <v>2.56</v>
      </c>
      <c r="Q59">
        <f>DataTable[[#This Row],[Manufacturing Price]]*DataTable[[#This Row],[Units Sold]]</f>
        <v>56640</v>
      </c>
      <c r="R59" s="26">
        <f>DataTable[[#This Row],[COGS]]-DataTable[[#This Row],[MC_US]]</f>
        <v>-55224</v>
      </c>
      <c r="S59" s="26">
        <f>IF(DataTable[[#This Row],[COGS-MC_US]]&gt;=0,DataTable[[#This Row],[Manufacturing Price]],DataTable[[#This Row],[COGS]]/DataTable[[#This Row],[Units Sold]])</f>
        <v>3</v>
      </c>
    </row>
    <row r="60" spans="1:19" ht="12.75" x14ac:dyDescent="0.2">
      <c r="A60" s="20">
        <v>41913</v>
      </c>
      <c r="B60" t="s">
        <v>398</v>
      </c>
      <c r="C60" t="s">
        <v>392</v>
      </c>
      <c r="D60" t="s">
        <v>305</v>
      </c>
      <c r="E60" t="str">
        <f>VLOOKUP(DataTable[[#This Row],[Country]],Market!B:C,2,FALSE)</f>
        <v>Europe</v>
      </c>
      <c r="F60" s="24">
        <v>260</v>
      </c>
      <c r="G60" s="24">
        <v>1416</v>
      </c>
      <c r="H60" s="24">
        <v>12</v>
      </c>
      <c r="I60" s="27">
        <v>472</v>
      </c>
      <c r="J60" s="24">
        <v>5664</v>
      </c>
      <c r="K60" s="24">
        <v>623.04</v>
      </c>
      <c r="L60" s="1" t="s">
        <v>158</v>
      </c>
      <c r="M60" s="24">
        <v>5040.96</v>
      </c>
      <c r="N60" s="24">
        <f t="shared" si="0"/>
        <v>3624.96</v>
      </c>
      <c r="O60" t="str">
        <f>IF(DataTable[[#This Row],[Profit]]/DataTable[[#This Row],[COGS]]*100&gt;20,"Achived","Not Achived")</f>
        <v>Achived</v>
      </c>
      <c r="P60" s="25">
        <f>DataTable[[#This Row],[Profit]]/DataTable[[#This Row],[COGS]]</f>
        <v>2.56</v>
      </c>
      <c r="Q60">
        <f>DataTable[[#This Row],[Manufacturing Price]]*DataTable[[#This Row],[Units Sold]]</f>
        <v>122720</v>
      </c>
      <c r="R60" s="26">
        <f>DataTable[[#This Row],[COGS]]-DataTable[[#This Row],[MC_US]]</f>
        <v>-121304</v>
      </c>
      <c r="S60" s="26">
        <f>IF(DataTable[[#This Row],[COGS-MC_US]]&gt;=0,DataTable[[#This Row],[Manufacturing Price]],DataTable[[#This Row],[COGS]]/DataTable[[#This Row],[Units Sold]])</f>
        <v>3</v>
      </c>
    </row>
    <row r="61" spans="1:19" ht="12.75" x14ac:dyDescent="0.2">
      <c r="A61" s="20">
        <v>41974</v>
      </c>
      <c r="B61" t="s">
        <v>395</v>
      </c>
      <c r="C61" t="s">
        <v>392</v>
      </c>
      <c r="D61" t="s">
        <v>305</v>
      </c>
      <c r="E61" t="str">
        <f>VLOOKUP(DataTable[[#This Row],[Country]],Market!B:C,2,FALSE)</f>
        <v>Europe</v>
      </c>
      <c r="F61" s="24">
        <v>10</v>
      </c>
      <c r="G61" s="24">
        <v>3039</v>
      </c>
      <c r="H61" s="24">
        <v>12</v>
      </c>
      <c r="I61" s="27">
        <v>1013</v>
      </c>
      <c r="J61" s="24">
        <v>12156</v>
      </c>
      <c r="K61" s="24">
        <v>1580.28</v>
      </c>
      <c r="L61" s="1" t="s">
        <v>158</v>
      </c>
      <c r="M61" s="24">
        <v>10575.72</v>
      </c>
      <c r="N61" s="24">
        <f t="shared" si="0"/>
        <v>7536.7199999999993</v>
      </c>
      <c r="O61" t="str">
        <f>IF(DataTable[[#This Row],[Profit]]/DataTable[[#This Row],[COGS]]*100&gt;20,"Achived","Not Achived")</f>
        <v>Achived</v>
      </c>
      <c r="P61" s="25">
        <f>DataTable[[#This Row],[Profit]]/DataTable[[#This Row],[COGS]]</f>
        <v>2.48</v>
      </c>
      <c r="Q61">
        <f>DataTable[[#This Row],[Manufacturing Price]]*DataTable[[#This Row],[Units Sold]]</f>
        <v>10130</v>
      </c>
      <c r="R61" s="26">
        <f>DataTable[[#This Row],[COGS]]-DataTable[[#This Row],[MC_US]]</f>
        <v>-7091</v>
      </c>
      <c r="S61" s="26">
        <f>IF(DataTable[[#This Row],[COGS-MC_US]]&gt;=0,DataTable[[#This Row],[Manufacturing Price]],DataTable[[#This Row],[COGS]]/DataTable[[#This Row],[Units Sold]])</f>
        <v>3</v>
      </c>
    </row>
    <row r="62" spans="1:19" ht="12.75" x14ac:dyDescent="0.2">
      <c r="A62" s="20">
        <v>41974</v>
      </c>
      <c r="B62" t="s">
        <v>396</v>
      </c>
      <c r="C62" t="s">
        <v>392</v>
      </c>
      <c r="D62" t="s">
        <v>305</v>
      </c>
      <c r="E62" t="str">
        <f>VLOOKUP(DataTable[[#This Row],[Country]],Market!B:C,2,FALSE)</f>
        <v>Europe</v>
      </c>
      <c r="F62" s="24">
        <v>120</v>
      </c>
      <c r="G62" s="24">
        <v>3039</v>
      </c>
      <c r="H62" s="24">
        <v>12</v>
      </c>
      <c r="I62" s="27">
        <v>1013</v>
      </c>
      <c r="J62" s="24">
        <v>12156</v>
      </c>
      <c r="K62" s="24">
        <v>1580.28</v>
      </c>
      <c r="L62" s="1" t="s">
        <v>158</v>
      </c>
      <c r="M62" s="24">
        <v>10575.72</v>
      </c>
      <c r="N62" s="24">
        <f t="shared" si="0"/>
        <v>7536.7199999999993</v>
      </c>
      <c r="O62" t="str">
        <f>IF(DataTable[[#This Row],[Profit]]/DataTable[[#This Row],[COGS]]*100&gt;20,"Achived","Not Achived")</f>
        <v>Achived</v>
      </c>
      <c r="P62" s="25">
        <f>DataTable[[#This Row],[Profit]]/DataTable[[#This Row],[COGS]]</f>
        <v>2.48</v>
      </c>
      <c r="Q62">
        <f>DataTable[[#This Row],[Manufacturing Price]]*DataTable[[#This Row],[Units Sold]]</f>
        <v>121560</v>
      </c>
      <c r="R62" s="26">
        <f>DataTable[[#This Row],[COGS]]-DataTable[[#This Row],[MC_US]]</f>
        <v>-118521</v>
      </c>
      <c r="S62" s="26">
        <f>IF(DataTable[[#This Row],[COGS-MC_US]]&gt;=0,DataTable[[#This Row],[Manufacturing Price]],DataTable[[#This Row],[COGS]]/DataTable[[#This Row],[Units Sold]])</f>
        <v>3</v>
      </c>
    </row>
    <row r="63" spans="1:19" ht="12.75" x14ac:dyDescent="0.2">
      <c r="A63" s="20">
        <v>41609</v>
      </c>
      <c r="B63" t="s">
        <v>398</v>
      </c>
      <c r="C63" t="s">
        <v>392</v>
      </c>
      <c r="D63" t="s">
        <v>305</v>
      </c>
      <c r="E63" t="str">
        <f>VLOOKUP(DataTable[[#This Row],[Country]],Market!B:C,2,FALSE)</f>
        <v>Europe</v>
      </c>
      <c r="F63" s="24">
        <v>260</v>
      </c>
      <c r="G63" s="24">
        <v>5310</v>
      </c>
      <c r="H63" s="24">
        <v>12</v>
      </c>
      <c r="I63" s="27">
        <v>1770</v>
      </c>
      <c r="J63" s="24">
        <v>21240</v>
      </c>
      <c r="K63" s="24">
        <v>2761.2</v>
      </c>
      <c r="L63" s="1" t="s">
        <v>158</v>
      </c>
      <c r="M63" s="24">
        <v>18478.8</v>
      </c>
      <c r="N63" s="24">
        <f t="shared" si="0"/>
        <v>13168.8</v>
      </c>
      <c r="O63" t="str">
        <f>IF(DataTable[[#This Row],[Profit]]/DataTable[[#This Row],[COGS]]*100&gt;20,"Achived","Not Achived")</f>
        <v>Achived</v>
      </c>
      <c r="P63" s="25">
        <f>DataTable[[#This Row],[Profit]]/DataTable[[#This Row],[COGS]]</f>
        <v>2.48</v>
      </c>
      <c r="Q63">
        <f>DataTable[[#This Row],[Manufacturing Price]]*DataTable[[#This Row],[Units Sold]]</f>
        <v>460200</v>
      </c>
      <c r="R63" s="26">
        <f>DataTable[[#This Row],[COGS]]-DataTable[[#This Row],[MC_US]]</f>
        <v>-454890</v>
      </c>
      <c r="S63" s="26">
        <f>IF(DataTable[[#This Row],[COGS-MC_US]]&gt;=0,DataTable[[#This Row],[Manufacturing Price]],DataTable[[#This Row],[COGS]]/DataTable[[#This Row],[Units Sold]])</f>
        <v>3</v>
      </c>
    </row>
    <row r="64" spans="1:19" ht="12.75" hidden="1" x14ac:dyDescent="0.2">
      <c r="A64" s="20">
        <v>41883</v>
      </c>
      <c r="B64" t="s">
        <v>389</v>
      </c>
      <c r="C64" t="s">
        <v>392</v>
      </c>
      <c r="D64" t="s">
        <v>304</v>
      </c>
      <c r="E64" t="str">
        <f>VLOOKUP(DataTable[[#This Row],[Country]],Market!B:C,2,FALSE)</f>
        <v>Europe</v>
      </c>
      <c r="F64" s="24">
        <v>3</v>
      </c>
      <c r="G64" s="24">
        <v>8013</v>
      </c>
      <c r="H64" s="24">
        <v>12</v>
      </c>
      <c r="I64" s="27">
        <v>2671</v>
      </c>
      <c r="J64" s="24">
        <v>32052</v>
      </c>
      <c r="K64" s="24">
        <v>320.52</v>
      </c>
      <c r="L64" s="1" t="s">
        <v>57</v>
      </c>
      <c r="M64" s="24">
        <v>31731.48</v>
      </c>
      <c r="N64" s="24">
        <f t="shared" si="0"/>
        <v>23718.48</v>
      </c>
      <c r="O64" t="str">
        <f>IF(DataTable[[#This Row],[Profit]]/DataTable[[#This Row],[COGS]]*100&gt;20,"Achived","Not Achived")</f>
        <v>Achived</v>
      </c>
      <c r="P64" s="25">
        <f>DataTable[[#This Row],[Profit]]/DataTable[[#This Row],[COGS]]</f>
        <v>2.96</v>
      </c>
      <c r="Q64">
        <f>DataTable[[#This Row],[Manufacturing Price]]*DataTable[[#This Row],[Units Sold]]</f>
        <v>8013</v>
      </c>
      <c r="R64" s="26">
        <f>DataTable[[#This Row],[COGS]]-DataTable[[#This Row],[MC_US]]</f>
        <v>0</v>
      </c>
      <c r="S64" s="26">
        <f>IF(DataTable[[#This Row],[COGS-MC_US]]&gt;=0,DataTable[[#This Row],[Manufacturing Price]],DataTable[[#This Row],[COGS]]/DataTable[[#This Row],[Units Sold]])</f>
        <v>3</v>
      </c>
    </row>
    <row r="65" spans="1:19" ht="12.75" hidden="1" x14ac:dyDescent="0.2">
      <c r="A65" s="20">
        <v>41579</v>
      </c>
      <c r="B65" t="s">
        <v>395</v>
      </c>
      <c r="C65" t="s">
        <v>392</v>
      </c>
      <c r="D65" t="s">
        <v>304</v>
      </c>
      <c r="E65" t="str">
        <f>VLOOKUP(DataTable[[#This Row],[Country]],Market!B:C,2,FALSE)</f>
        <v>Europe</v>
      </c>
      <c r="F65" s="24">
        <v>10</v>
      </c>
      <c r="G65" s="24">
        <v>5355</v>
      </c>
      <c r="H65" s="24">
        <v>12</v>
      </c>
      <c r="I65" s="27">
        <v>1785</v>
      </c>
      <c r="J65" s="24">
        <v>21420</v>
      </c>
      <c r="K65" s="24">
        <v>428.4</v>
      </c>
      <c r="L65" s="1" t="s">
        <v>57</v>
      </c>
      <c r="M65" s="24">
        <v>20991.599999999999</v>
      </c>
      <c r="N65" s="24">
        <f t="shared" si="0"/>
        <v>15636.599999999999</v>
      </c>
      <c r="O65" t="str">
        <f>IF(DataTable[[#This Row],[Profit]]/DataTable[[#This Row],[COGS]]*100&gt;20,"Achived","Not Achived")</f>
        <v>Achived</v>
      </c>
      <c r="P65" s="25">
        <f>DataTable[[#This Row],[Profit]]/DataTable[[#This Row],[COGS]]</f>
        <v>2.92</v>
      </c>
      <c r="Q65">
        <f>DataTable[[#This Row],[Manufacturing Price]]*DataTable[[#This Row],[Units Sold]]</f>
        <v>17850</v>
      </c>
      <c r="R65" s="26">
        <f>DataTable[[#This Row],[COGS]]-DataTable[[#This Row],[MC_US]]</f>
        <v>-12495</v>
      </c>
      <c r="S65" s="26">
        <f>IF(DataTable[[#This Row],[COGS-MC_US]]&gt;=0,DataTable[[#This Row],[Manufacturing Price]],DataTable[[#This Row],[COGS]]/DataTable[[#This Row],[Units Sold]])</f>
        <v>3</v>
      </c>
    </row>
    <row r="66" spans="1:19" ht="12.75" hidden="1" x14ac:dyDescent="0.2">
      <c r="A66" s="20">
        <v>41974</v>
      </c>
      <c r="B66" t="s">
        <v>395</v>
      </c>
      <c r="C66" t="s">
        <v>392</v>
      </c>
      <c r="D66" t="s">
        <v>304</v>
      </c>
      <c r="E66" t="str">
        <f>VLOOKUP(DataTable[[#This Row],[Country]],Market!B:C,2,FALSE)</f>
        <v>Europe</v>
      </c>
      <c r="F66" s="24">
        <v>10</v>
      </c>
      <c r="G66" s="24">
        <v>3165</v>
      </c>
      <c r="H66" s="24">
        <v>12</v>
      </c>
      <c r="I66" s="27">
        <v>1055</v>
      </c>
      <c r="J66" s="24">
        <v>12660</v>
      </c>
      <c r="K66" s="24">
        <v>253.2</v>
      </c>
      <c r="L66" s="1" t="s">
        <v>57</v>
      </c>
      <c r="M66" s="24">
        <v>12406.8</v>
      </c>
      <c r="N66" s="24">
        <f t="shared" si="0"/>
        <v>9241.7999999999993</v>
      </c>
      <c r="O66" t="str">
        <f>IF(DataTable[[#This Row],[Profit]]/DataTable[[#This Row],[COGS]]*100&gt;20,"Achived","Not Achived")</f>
        <v>Achived</v>
      </c>
      <c r="P66" s="25">
        <f>DataTable[[#This Row],[Profit]]/DataTable[[#This Row],[COGS]]</f>
        <v>2.92</v>
      </c>
      <c r="Q66">
        <f>DataTable[[#This Row],[Manufacturing Price]]*DataTable[[#This Row],[Units Sold]]</f>
        <v>10550</v>
      </c>
      <c r="R66" s="26">
        <f>DataTable[[#This Row],[COGS]]-DataTable[[#This Row],[MC_US]]</f>
        <v>-7385</v>
      </c>
      <c r="S66" s="26">
        <f>IF(DataTable[[#This Row],[COGS-MC_US]]&gt;=0,DataTable[[#This Row],[Manufacturing Price]],DataTable[[#This Row],[COGS]]/DataTable[[#This Row],[Units Sold]])</f>
        <v>3</v>
      </c>
    </row>
    <row r="67" spans="1:19" ht="12.75" hidden="1" x14ac:dyDescent="0.2">
      <c r="A67" s="20">
        <v>41974</v>
      </c>
      <c r="B67" t="s">
        <v>396</v>
      </c>
      <c r="C67" t="s">
        <v>392</v>
      </c>
      <c r="D67" t="s">
        <v>304</v>
      </c>
      <c r="E67" t="str">
        <f>VLOOKUP(DataTable[[#This Row],[Country]],Market!B:C,2,FALSE)</f>
        <v>Europe</v>
      </c>
      <c r="F67" s="24">
        <v>120</v>
      </c>
      <c r="G67" s="24">
        <v>3165</v>
      </c>
      <c r="H67" s="24">
        <v>12</v>
      </c>
      <c r="I67" s="27">
        <v>1055</v>
      </c>
      <c r="J67" s="24">
        <v>12660</v>
      </c>
      <c r="K67" s="24">
        <v>253.2</v>
      </c>
      <c r="L67" s="1" t="s">
        <v>57</v>
      </c>
      <c r="M67" s="24">
        <v>12406.8</v>
      </c>
      <c r="N67" s="24">
        <f t="shared" si="0"/>
        <v>9241.7999999999993</v>
      </c>
      <c r="O67" t="str">
        <f>IF(DataTable[[#This Row],[Profit]]/DataTable[[#This Row],[COGS]]*100&gt;20,"Achived","Not Achived")</f>
        <v>Achived</v>
      </c>
      <c r="P67" s="25">
        <f>DataTable[[#This Row],[Profit]]/DataTable[[#This Row],[COGS]]</f>
        <v>2.92</v>
      </c>
      <c r="Q67">
        <f>DataTable[[#This Row],[Manufacturing Price]]*DataTable[[#This Row],[Units Sold]]</f>
        <v>126600</v>
      </c>
      <c r="R67" s="26">
        <f>DataTable[[#This Row],[COGS]]-DataTable[[#This Row],[MC_US]]</f>
        <v>-123435</v>
      </c>
      <c r="S67" s="26">
        <f>IF(DataTable[[#This Row],[COGS-MC_US]]&gt;=0,DataTable[[#This Row],[Manufacturing Price]],DataTable[[#This Row],[COGS]]/DataTable[[#This Row],[Units Sold]])</f>
        <v>3</v>
      </c>
    </row>
    <row r="68" spans="1:19" ht="12.75" hidden="1" x14ac:dyDescent="0.2">
      <c r="A68" s="20">
        <v>41791</v>
      </c>
      <c r="B68" t="s">
        <v>391</v>
      </c>
      <c r="C68" t="s">
        <v>392</v>
      </c>
      <c r="D68" t="s">
        <v>304</v>
      </c>
      <c r="E68" t="str">
        <f>VLOOKUP(DataTable[[#This Row],[Country]],Market!B:C,2,FALSE)</f>
        <v>Europe</v>
      </c>
      <c r="F68" s="24">
        <v>5</v>
      </c>
      <c r="G68" s="24">
        <v>5703</v>
      </c>
      <c r="H68" s="24">
        <v>12</v>
      </c>
      <c r="I68" s="27">
        <v>1901</v>
      </c>
      <c r="J68" s="24">
        <v>22812</v>
      </c>
      <c r="K68" s="24">
        <v>684.36</v>
      </c>
      <c r="L68" s="1" t="s">
        <v>57</v>
      </c>
      <c r="M68" s="24">
        <v>22127.64</v>
      </c>
      <c r="N68" s="24">
        <f t="shared" ref="N68:N131" si="1">M68-G68</f>
        <v>16424.64</v>
      </c>
      <c r="O68" t="str">
        <f>IF(DataTable[[#This Row],[Profit]]/DataTable[[#This Row],[COGS]]*100&gt;20,"Achived","Not Achived")</f>
        <v>Achived</v>
      </c>
      <c r="P68" s="25">
        <f>DataTable[[#This Row],[Profit]]/DataTable[[#This Row],[COGS]]</f>
        <v>2.88</v>
      </c>
      <c r="Q68">
        <f>DataTable[[#This Row],[Manufacturing Price]]*DataTable[[#This Row],[Units Sold]]</f>
        <v>9505</v>
      </c>
      <c r="R68" s="26">
        <f>DataTable[[#This Row],[COGS]]-DataTable[[#This Row],[MC_US]]</f>
        <v>-3802</v>
      </c>
      <c r="S68" s="26">
        <f>IF(DataTable[[#This Row],[COGS-MC_US]]&gt;=0,DataTable[[#This Row],[Manufacturing Price]],DataTable[[#This Row],[COGS]]/DataTable[[#This Row],[Units Sold]])</f>
        <v>3</v>
      </c>
    </row>
    <row r="69" spans="1:19" ht="12.75" hidden="1" x14ac:dyDescent="0.2">
      <c r="A69" s="20">
        <v>41791</v>
      </c>
      <c r="B69" t="s">
        <v>395</v>
      </c>
      <c r="C69" t="s">
        <v>392</v>
      </c>
      <c r="D69" t="s">
        <v>304</v>
      </c>
      <c r="E69" t="str">
        <f>VLOOKUP(DataTable[[#This Row],[Country]],Market!B:C,2,FALSE)</f>
        <v>Europe</v>
      </c>
      <c r="F69" s="24">
        <v>10</v>
      </c>
      <c r="G69" s="24">
        <v>5703</v>
      </c>
      <c r="H69" s="24">
        <v>12</v>
      </c>
      <c r="I69" s="27">
        <v>1901</v>
      </c>
      <c r="J69" s="24">
        <v>22812</v>
      </c>
      <c r="K69" s="24">
        <v>684.36</v>
      </c>
      <c r="L69" s="1" t="s">
        <v>57</v>
      </c>
      <c r="M69" s="24">
        <v>22127.64</v>
      </c>
      <c r="N69" s="24">
        <f t="shared" si="1"/>
        <v>16424.64</v>
      </c>
      <c r="O69" t="str">
        <f>IF(DataTable[[#This Row],[Profit]]/DataTable[[#This Row],[COGS]]*100&gt;20,"Achived","Not Achived")</f>
        <v>Achived</v>
      </c>
      <c r="P69" s="25">
        <f>DataTable[[#This Row],[Profit]]/DataTable[[#This Row],[COGS]]</f>
        <v>2.88</v>
      </c>
      <c r="Q69">
        <f>DataTable[[#This Row],[Manufacturing Price]]*DataTable[[#This Row],[Units Sold]]</f>
        <v>19010</v>
      </c>
      <c r="R69" s="26">
        <f>DataTable[[#This Row],[COGS]]-DataTable[[#This Row],[MC_US]]</f>
        <v>-13307</v>
      </c>
      <c r="S69" s="26">
        <f>IF(DataTable[[#This Row],[COGS-MC_US]]&gt;=0,DataTable[[#This Row],[Manufacturing Price]],DataTable[[#This Row],[COGS]]/DataTable[[#This Row],[Units Sold]])</f>
        <v>3</v>
      </c>
    </row>
    <row r="70" spans="1:19" ht="12.75" hidden="1" x14ac:dyDescent="0.2">
      <c r="A70" s="20">
        <v>41760</v>
      </c>
      <c r="B70" t="s">
        <v>397</v>
      </c>
      <c r="C70" t="s">
        <v>392</v>
      </c>
      <c r="D70" t="s">
        <v>304</v>
      </c>
      <c r="E70" t="str">
        <f>VLOOKUP(DataTable[[#This Row],[Country]],Market!B:C,2,FALSE)</f>
        <v>Europe</v>
      </c>
      <c r="F70" s="24">
        <v>250</v>
      </c>
      <c r="G70" s="24">
        <v>2598</v>
      </c>
      <c r="H70" s="24">
        <v>12</v>
      </c>
      <c r="I70" s="27">
        <v>866</v>
      </c>
      <c r="J70" s="24">
        <v>10392</v>
      </c>
      <c r="K70" s="24">
        <v>415.68</v>
      </c>
      <c r="L70" s="1" t="s">
        <v>57</v>
      </c>
      <c r="M70" s="24">
        <v>9976.32</v>
      </c>
      <c r="N70" s="24">
        <f t="shared" si="1"/>
        <v>7378.32</v>
      </c>
      <c r="O70" t="str">
        <f>IF(DataTable[[#This Row],[Profit]]/DataTable[[#This Row],[COGS]]*100&gt;20,"Achived","Not Achived")</f>
        <v>Achived</v>
      </c>
      <c r="P70" s="25">
        <f>DataTable[[#This Row],[Profit]]/DataTable[[#This Row],[COGS]]</f>
        <v>2.84</v>
      </c>
      <c r="Q70">
        <f>DataTable[[#This Row],[Manufacturing Price]]*DataTable[[#This Row],[Units Sold]]</f>
        <v>216500</v>
      </c>
      <c r="R70" s="26">
        <f>DataTable[[#This Row],[COGS]]-DataTable[[#This Row],[MC_US]]</f>
        <v>-213902</v>
      </c>
      <c r="S70" s="26">
        <f>IF(DataTable[[#This Row],[COGS-MC_US]]&gt;=0,DataTable[[#This Row],[Manufacturing Price]],DataTable[[#This Row],[COGS]]/DataTable[[#This Row],[Units Sold]])</f>
        <v>3</v>
      </c>
    </row>
    <row r="71" spans="1:19" ht="12.75" hidden="1" x14ac:dyDescent="0.2">
      <c r="A71" s="20">
        <v>41671</v>
      </c>
      <c r="B71" t="s">
        <v>389</v>
      </c>
      <c r="C71" t="s">
        <v>392</v>
      </c>
      <c r="D71" t="s">
        <v>304</v>
      </c>
      <c r="E71" t="str">
        <f>VLOOKUP(DataTable[[#This Row],[Country]],Market!B:C,2,FALSE)</f>
        <v>Europe</v>
      </c>
      <c r="F71" s="24">
        <v>3</v>
      </c>
      <c r="G71" s="24">
        <v>5595</v>
      </c>
      <c r="H71" s="24">
        <v>12</v>
      </c>
      <c r="I71" s="27">
        <v>1865</v>
      </c>
      <c r="J71" s="24">
        <v>22380</v>
      </c>
      <c r="K71" s="24">
        <v>1119</v>
      </c>
      <c r="L71" s="1" t="s">
        <v>124</v>
      </c>
      <c r="M71" s="24">
        <v>21261</v>
      </c>
      <c r="N71" s="24">
        <f t="shared" si="1"/>
        <v>15666</v>
      </c>
      <c r="O71" t="str">
        <f>IF(DataTable[[#This Row],[Profit]]/DataTable[[#This Row],[COGS]]*100&gt;20,"Achived","Not Achived")</f>
        <v>Achived</v>
      </c>
      <c r="P71" s="25">
        <f>DataTable[[#This Row],[Profit]]/DataTable[[#This Row],[COGS]]</f>
        <v>2.8</v>
      </c>
      <c r="Q71">
        <f>DataTable[[#This Row],[Manufacturing Price]]*DataTable[[#This Row],[Units Sold]]</f>
        <v>5595</v>
      </c>
      <c r="R71" s="26">
        <f>DataTable[[#This Row],[COGS]]-DataTable[[#This Row],[MC_US]]</f>
        <v>0</v>
      </c>
      <c r="S71" s="26">
        <f>IF(DataTable[[#This Row],[COGS-MC_US]]&gt;=0,DataTable[[#This Row],[Manufacturing Price]],DataTable[[#This Row],[COGS]]/DataTable[[#This Row],[Units Sold]])</f>
        <v>3</v>
      </c>
    </row>
    <row r="72" spans="1:19" ht="12.75" hidden="1" x14ac:dyDescent="0.2">
      <c r="A72" s="20">
        <v>41944</v>
      </c>
      <c r="B72" t="s">
        <v>391</v>
      </c>
      <c r="C72" t="s">
        <v>392</v>
      </c>
      <c r="D72" t="s">
        <v>304</v>
      </c>
      <c r="E72" t="str">
        <f>VLOOKUP(DataTable[[#This Row],[Country]],Market!B:C,2,FALSE)</f>
        <v>Europe</v>
      </c>
      <c r="F72" s="24">
        <v>5</v>
      </c>
      <c r="G72" s="24">
        <v>7026</v>
      </c>
      <c r="H72" s="24">
        <v>12</v>
      </c>
      <c r="I72" s="27">
        <v>2342</v>
      </c>
      <c r="J72" s="24">
        <v>28104</v>
      </c>
      <c r="K72" s="24">
        <v>1967.28</v>
      </c>
      <c r="L72" s="1" t="s">
        <v>124</v>
      </c>
      <c r="M72" s="24">
        <v>26136.720000000001</v>
      </c>
      <c r="N72" s="24">
        <f t="shared" si="1"/>
        <v>19110.72</v>
      </c>
      <c r="O72" t="str">
        <f>IF(DataTable[[#This Row],[Profit]]/DataTable[[#This Row],[COGS]]*100&gt;20,"Achived","Not Achived")</f>
        <v>Achived</v>
      </c>
      <c r="P72" s="25">
        <f>DataTable[[#This Row],[Profit]]/DataTable[[#This Row],[COGS]]</f>
        <v>2.72</v>
      </c>
      <c r="Q72">
        <f>DataTable[[#This Row],[Manufacturing Price]]*DataTable[[#This Row],[Units Sold]]</f>
        <v>11710</v>
      </c>
      <c r="R72" s="26">
        <f>DataTable[[#This Row],[COGS]]-DataTable[[#This Row],[MC_US]]</f>
        <v>-4684</v>
      </c>
      <c r="S72" s="26">
        <f>IF(DataTable[[#This Row],[COGS-MC_US]]&gt;=0,DataTable[[#This Row],[Manufacturing Price]],DataTable[[#This Row],[COGS]]/DataTable[[#This Row],[Units Sold]])</f>
        <v>3</v>
      </c>
    </row>
    <row r="73" spans="1:19" ht="12.75" hidden="1" x14ac:dyDescent="0.2">
      <c r="A73" s="20">
        <v>41730</v>
      </c>
      <c r="B73" t="s">
        <v>397</v>
      </c>
      <c r="C73" t="s">
        <v>392</v>
      </c>
      <c r="D73" t="s">
        <v>304</v>
      </c>
      <c r="E73" t="str">
        <f>VLOOKUP(DataTable[[#This Row],[Country]],Market!B:C,2,FALSE)</f>
        <v>Europe</v>
      </c>
      <c r="F73" s="24">
        <v>250</v>
      </c>
      <c r="G73" s="24">
        <v>5215.5</v>
      </c>
      <c r="H73" s="24">
        <v>12</v>
      </c>
      <c r="I73" s="27">
        <v>1738.5</v>
      </c>
      <c r="J73" s="24">
        <v>20862</v>
      </c>
      <c r="K73" s="24">
        <v>1460.34</v>
      </c>
      <c r="L73" s="1" t="s">
        <v>124</v>
      </c>
      <c r="M73" s="24">
        <v>19401.66</v>
      </c>
      <c r="N73" s="24">
        <f t="shared" si="1"/>
        <v>14186.16</v>
      </c>
      <c r="O73" t="str">
        <f>IF(DataTable[[#This Row],[Profit]]/DataTable[[#This Row],[COGS]]*100&gt;20,"Achived","Not Achived")</f>
        <v>Achived</v>
      </c>
      <c r="P73" s="25">
        <f>DataTable[[#This Row],[Profit]]/DataTable[[#This Row],[COGS]]</f>
        <v>2.7199999999999998</v>
      </c>
      <c r="Q73">
        <f>DataTable[[#This Row],[Manufacturing Price]]*DataTable[[#This Row],[Units Sold]]</f>
        <v>434625</v>
      </c>
      <c r="R73" s="26">
        <f>DataTable[[#This Row],[COGS]]-DataTable[[#This Row],[MC_US]]</f>
        <v>-429409.5</v>
      </c>
      <c r="S73" s="26">
        <f>IF(DataTable[[#This Row],[COGS-MC_US]]&gt;=0,DataTable[[#This Row],[Manufacturing Price]],DataTable[[#This Row],[COGS]]/DataTable[[#This Row],[Units Sold]])</f>
        <v>3</v>
      </c>
    </row>
    <row r="74" spans="1:19" ht="12.75" hidden="1" x14ac:dyDescent="0.2">
      <c r="A74" s="20">
        <v>41518</v>
      </c>
      <c r="B74" t="s">
        <v>397</v>
      </c>
      <c r="C74" t="s">
        <v>392</v>
      </c>
      <c r="D74" t="s">
        <v>304</v>
      </c>
      <c r="E74" t="str">
        <f>VLOOKUP(DataTable[[#This Row],[Country]],Market!B:C,2,FALSE)</f>
        <v>Europe</v>
      </c>
      <c r="F74" s="24">
        <v>250</v>
      </c>
      <c r="G74" s="24">
        <v>6702</v>
      </c>
      <c r="H74" s="24">
        <v>12</v>
      </c>
      <c r="I74" s="27">
        <v>2234</v>
      </c>
      <c r="J74" s="24">
        <v>26808</v>
      </c>
      <c r="K74" s="24">
        <v>2412.7199999999998</v>
      </c>
      <c r="L74" s="1" t="s">
        <v>124</v>
      </c>
      <c r="M74" s="24">
        <v>24395.279999999999</v>
      </c>
      <c r="N74" s="24">
        <f t="shared" si="1"/>
        <v>17693.28</v>
      </c>
      <c r="O74" t="str">
        <f>IF(DataTable[[#This Row],[Profit]]/DataTable[[#This Row],[COGS]]*100&gt;20,"Achived","Not Achived")</f>
        <v>Achived</v>
      </c>
      <c r="P74" s="25">
        <f>DataTable[[#This Row],[Profit]]/DataTable[[#This Row],[COGS]]</f>
        <v>2.6399999999999997</v>
      </c>
      <c r="Q74">
        <f>DataTable[[#This Row],[Manufacturing Price]]*DataTable[[#This Row],[Units Sold]]</f>
        <v>558500</v>
      </c>
      <c r="R74" s="26">
        <f>DataTable[[#This Row],[COGS]]-DataTable[[#This Row],[MC_US]]</f>
        <v>-551798</v>
      </c>
      <c r="S74" s="26">
        <f>IF(DataTable[[#This Row],[COGS-MC_US]]&gt;=0,DataTable[[#This Row],[Manufacturing Price]],DataTable[[#This Row],[COGS]]/DataTable[[#This Row],[Units Sold]])</f>
        <v>3</v>
      </c>
    </row>
    <row r="75" spans="1:19" ht="12.75" hidden="1" x14ac:dyDescent="0.2">
      <c r="A75" s="20">
        <v>41699</v>
      </c>
      <c r="B75" t="s">
        <v>396</v>
      </c>
      <c r="C75" t="s">
        <v>392</v>
      </c>
      <c r="D75" t="s">
        <v>304</v>
      </c>
      <c r="E75" t="str">
        <f>VLOOKUP(DataTable[[#This Row],[Country]],Market!B:C,2,FALSE)</f>
        <v>Europe</v>
      </c>
      <c r="F75" s="24">
        <v>120</v>
      </c>
      <c r="G75" s="24">
        <v>5901</v>
      </c>
      <c r="H75" s="24">
        <v>12</v>
      </c>
      <c r="I75" s="27">
        <v>1967</v>
      </c>
      <c r="J75" s="24">
        <v>23604</v>
      </c>
      <c r="K75" s="24">
        <v>2124.36</v>
      </c>
      <c r="L75" s="1" t="s">
        <v>124</v>
      </c>
      <c r="M75" s="24">
        <v>21479.64</v>
      </c>
      <c r="N75" s="24">
        <f t="shared" si="1"/>
        <v>15578.64</v>
      </c>
      <c r="O75" t="str">
        <f>IF(DataTable[[#This Row],[Profit]]/DataTable[[#This Row],[COGS]]*100&gt;20,"Achived","Not Achived")</f>
        <v>Achived</v>
      </c>
      <c r="P75" s="25">
        <f>DataTable[[#This Row],[Profit]]/DataTable[[#This Row],[COGS]]</f>
        <v>2.6399999999999997</v>
      </c>
      <c r="Q75">
        <f>DataTable[[#This Row],[Manufacturing Price]]*DataTable[[#This Row],[Units Sold]]</f>
        <v>236040</v>
      </c>
      <c r="R75" s="26">
        <f>DataTable[[#This Row],[COGS]]-DataTable[[#This Row],[MC_US]]</f>
        <v>-230139</v>
      </c>
      <c r="S75" s="26">
        <f>IF(DataTable[[#This Row],[COGS-MC_US]]&gt;=0,DataTable[[#This Row],[Manufacturing Price]],DataTable[[#This Row],[COGS]]/DataTable[[#This Row],[Units Sold]])</f>
        <v>3</v>
      </c>
    </row>
    <row r="76" spans="1:19" ht="12.75" hidden="1" x14ac:dyDescent="0.2">
      <c r="A76" s="20">
        <v>41609</v>
      </c>
      <c r="B76" t="s">
        <v>398</v>
      </c>
      <c r="C76" t="s">
        <v>392</v>
      </c>
      <c r="D76" t="s">
        <v>304</v>
      </c>
      <c r="E76" t="str">
        <f>VLOOKUP(DataTable[[#This Row],[Country]],Market!B:C,2,FALSE)</f>
        <v>Europe</v>
      </c>
      <c r="F76" s="24">
        <v>260</v>
      </c>
      <c r="G76" s="24">
        <v>918</v>
      </c>
      <c r="H76" s="24">
        <v>12</v>
      </c>
      <c r="I76" s="27">
        <v>306</v>
      </c>
      <c r="J76" s="24">
        <v>3672</v>
      </c>
      <c r="K76" s="24">
        <v>330.48</v>
      </c>
      <c r="L76" s="1" t="s">
        <v>124</v>
      </c>
      <c r="M76" s="24">
        <v>3341.52</v>
      </c>
      <c r="N76" s="24">
        <f t="shared" si="1"/>
        <v>2423.52</v>
      </c>
      <c r="O76" t="str">
        <f>IF(DataTable[[#This Row],[Profit]]/DataTable[[#This Row],[COGS]]*100&gt;20,"Achived","Not Achived")</f>
        <v>Achived</v>
      </c>
      <c r="P76" s="25">
        <f>DataTable[[#This Row],[Profit]]/DataTable[[#This Row],[COGS]]</f>
        <v>2.64</v>
      </c>
      <c r="Q76">
        <f>DataTable[[#This Row],[Manufacturing Price]]*DataTable[[#This Row],[Units Sold]]</f>
        <v>79560</v>
      </c>
      <c r="R76" s="26">
        <f>DataTable[[#This Row],[COGS]]-DataTable[[#This Row],[MC_US]]</f>
        <v>-78642</v>
      </c>
      <c r="S76" s="26">
        <f>IF(DataTable[[#This Row],[COGS-MC_US]]&gt;=0,DataTable[[#This Row],[Manufacturing Price]],DataTable[[#This Row],[COGS]]/DataTable[[#This Row],[Units Sold]])</f>
        <v>3</v>
      </c>
    </row>
    <row r="77" spans="1:19" ht="12.75" x14ac:dyDescent="0.2">
      <c r="A77" s="20">
        <v>41548</v>
      </c>
      <c r="B77" t="s">
        <v>389</v>
      </c>
      <c r="C77" t="s">
        <v>392</v>
      </c>
      <c r="D77" t="s">
        <v>304</v>
      </c>
      <c r="E77" t="str">
        <f>VLOOKUP(DataTable[[#This Row],[Country]],Market!B:C,2,FALSE)</f>
        <v>Europe</v>
      </c>
      <c r="F77" s="24">
        <v>3</v>
      </c>
      <c r="G77" s="24">
        <v>3594</v>
      </c>
      <c r="H77" s="24">
        <v>12</v>
      </c>
      <c r="I77" s="27">
        <v>1198</v>
      </c>
      <c r="J77" s="24">
        <v>14376</v>
      </c>
      <c r="K77" s="24">
        <v>1581.36</v>
      </c>
      <c r="L77" s="1" t="s">
        <v>158</v>
      </c>
      <c r="M77" s="24">
        <v>12794.64</v>
      </c>
      <c r="N77" s="24">
        <f t="shared" si="1"/>
        <v>9200.64</v>
      </c>
      <c r="O77" t="str">
        <f>IF(DataTable[[#This Row],[Profit]]/DataTable[[#This Row],[COGS]]*100&gt;20,"Achived","Not Achived")</f>
        <v>Achived</v>
      </c>
      <c r="P77" s="25">
        <f>DataTable[[#This Row],[Profit]]/DataTable[[#This Row],[COGS]]</f>
        <v>2.56</v>
      </c>
      <c r="Q77">
        <f>DataTable[[#This Row],[Manufacturing Price]]*DataTable[[#This Row],[Units Sold]]</f>
        <v>3594</v>
      </c>
      <c r="R77" s="26">
        <f>DataTable[[#This Row],[COGS]]-DataTable[[#This Row],[MC_US]]</f>
        <v>0</v>
      </c>
      <c r="S77" s="26">
        <f>IF(DataTable[[#This Row],[COGS-MC_US]]&gt;=0,DataTable[[#This Row],[Manufacturing Price]],DataTable[[#This Row],[COGS]]/DataTable[[#This Row],[Units Sold]])</f>
        <v>3</v>
      </c>
    </row>
    <row r="78" spans="1:19" ht="12.75" x14ac:dyDescent="0.2">
      <c r="A78" s="20">
        <v>41548</v>
      </c>
      <c r="B78" t="s">
        <v>395</v>
      </c>
      <c r="C78" t="s">
        <v>392</v>
      </c>
      <c r="D78" t="s">
        <v>304</v>
      </c>
      <c r="E78" t="str">
        <f>VLOOKUP(DataTable[[#This Row],[Country]],Market!B:C,2,FALSE)</f>
        <v>Europe</v>
      </c>
      <c r="F78" s="24">
        <v>10</v>
      </c>
      <c r="G78" s="24">
        <v>3594</v>
      </c>
      <c r="H78" s="24">
        <v>12</v>
      </c>
      <c r="I78" s="27">
        <v>1198</v>
      </c>
      <c r="J78" s="24">
        <v>14376</v>
      </c>
      <c r="K78" s="24">
        <v>1581.36</v>
      </c>
      <c r="L78" s="1" t="s">
        <v>158</v>
      </c>
      <c r="M78" s="24">
        <v>12794.64</v>
      </c>
      <c r="N78" s="24">
        <f t="shared" si="1"/>
        <v>9200.64</v>
      </c>
      <c r="O78" t="str">
        <f>IF(DataTable[[#This Row],[Profit]]/DataTable[[#This Row],[COGS]]*100&gt;20,"Achived","Not Achived")</f>
        <v>Achived</v>
      </c>
      <c r="P78" s="25">
        <f>DataTable[[#This Row],[Profit]]/DataTable[[#This Row],[COGS]]</f>
        <v>2.56</v>
      </c>
      <c r="Q78">
        <f>DataTable[[#This Row],[Manufacturing Price]]*DataTable[[#This Row],[Units Sold]]</f>
        <v>11980</v>
      </c>
      <c r="R78" s="26">
        <f>DataTable[[#This Row],[COGS]]-DataTable[[#This Row],[MC_US]]</f>
        <v>-8386</v>
      </c>
      <c r="S78" s="26">
        <f>IF(DataTable[[#This Row],[COGS-MC_US]]&gt;=0,DataTable[[#This Row],[Manufacturing Price]],DataTable[[#This Row],[COGS]]/DataTable[[#This Row],[Units Sold]])</f>
        <v>3</v>
      </c>
    </row>
    <row r="79" spans="1:19" ht="12.75" x14ac:dyDescent="0.2">
      <c r="A79" s="20">
        <v>41821</v>
      </c>
      <c r="B79" t="s">
        <v>395</v>
      </c>
      <c r="C79" t="s">
        <v>392</v>
      </c>
      <c r="D79" t="s">
        <v>304</v>
      </c>
      <c r="E79" t="str">
        <f>VLOOKUP(DataTable[[#This Row],[Country]],Market!B:C,2,FALSE)</f>
        <v>Europe</v>
      </c>
      <c r="F79" s="24">
        <v>10</v>
      </c>
      <c r="G79" s="24">
        <v>7276.5</v>
      </c>
      <c r="H79" s="24">
        <v>12</v>
      </c>
      <c r="I79" s="27">
        <v>2425.5</v>
      </c>
      <c r="J79" s="24">
        <v>29106</v>
      </c>
      <c r="K79" s="24">
        <v>3201.66</v>
      </c>
      <c r="L79" s="1" t="s">
        <v>158</v>
      </c>
      <c r="M79" s="24">
        <v>25904.34</v>
      </c>
      <c r="N79" s="24">
        <f t="shared" si="1"/>
        <v>18627.84</v>
      </c>
      <c r="O79" t="str">
        <f>IF(DataTable[[#This Row],[Profit]]/DataTable[[#This Row],[COGS]]*100&gt;20,"Achived","Not Achived")</f>
        <v>Achived</v>
      </c>
      <c r="P79" s="25">
        <f>DataTable[[#This Row],[Profit]]/DataTable[[#This Row],[COGS]]</f>
        <v>2.56</v>
      </c>
      <c r="Q79">
        <f>DataTable[[#This Row],[Manufacturing Price]]*DataTable[[#This Row],[Units Sold]]</f>
        <v>24255</v>
      </c>
      <c r="R79" s="26">
        <f>DataTable[[#This Row],[COGS]]-DataTable[[#This Row],[MC_US]]</f>
        <v>-16978.5</v>
      </c>
      <c r="S79" s="26">
        <f>IF(DataTable[[#This Row],[COGS-MC_US]]&gt;=0,DataTable[[#This Row],[Manufacturing Price]],DataTable[[#This Row],[COGS]]/DataTable[[#This Row],[Units Sold]])</f>
        <v>3</v>
      </c>
    </row>
    <row r="80" spans="1:19" ht="12.75" x14ac:dyDescent="0.2">
      <c r="A80" s="20">
        <v>41640</v>
      </c>
      <c r="B80" t="s">
        <v>397</v>
      </c>
      <c r="C80" t="s">
        <v>392</v>
      </c>
      <c r="D80" t="s">
        <v>304</v>
      </c>
      <c r="E80" t="str">
        <f>VLOOKUP(DataTable[[#This Row],[Country]],Market!B:C,2,FALSE)</f>
        <v>Europe</v>
      </c>
      <c r="F80" s="24">
        <v>250</v>
      </c>
      <c r="G80" s="24">
        <v>5202</v>
      </c>
      <c r="H80" s="24">
        <v>12</v>
      </c>
      <c r="I80" s="27">
        <v>1734</v>
      </c>
      <c r="J80" s="24">
        <v>20808</v>
      </c>
      <c r="K80" s="24">
        <v>2288.88</v>
      </c>
      <c r="L80" s="1" t="s">
        <v>158</v>
      </c>
      <c r="M80" s="24">
        <v>18519.12</v>
      </c>
      <c r="N80" s="24">
        <f t="shared" si="1"/>
        <v>13317.119999999999</v>
      </c>
      <c r="O80" t="str">
        <f>IF(DataTable[[#This Row],[Profit]]/DataTable[[#This Row],[COGS]]*100&gt;20,"Achived","Not Achived")</f>
        <v>Achived</v>
      </c>
      <c r="P80" s="25">
        <f>DataTable[[#This Row],[Profit]]/DataTable[[#This Row],[COGS]]</f>
        <v>2.5599999999999996</v>
      </c>
      <c r="Q80">
        <f>DataTable[[#This Row],[Manufacturing Price]]*DataTable[[#This Row],[Units Sold]]</f>
        <v>433500</v>
      </c>
      <c r="R80" s="26">
        <f>DataTable[[#This Row],[COGS]]-DataTable[[#This Row],[MC_US]]</f>
        <v>-428298</v>
      </c>
      <c r="S80" s="26">
        <f>IF(DataTable[[#This Row],[COGS-MC_US]]&gt;=0,DataTable[[#This Row],[Manufacturing Price]],DataTable[[#This Row],[COGS]]/DataTable[[#This Row],[Units Sold]])</f>
        <v>3</v>
      </c>
    </row>
    <row r="81" spans="1:19" ht="12.75" x14ac:dyDescent="0.2">
      <c r="A81" s="20">
        <v>41913</v>
      </c>
      <c r="B81" t="s">
        <v>395</v>
      </c>
      <c r="C81" t="s">
        <v>392</v>
      </c>
      <c r="D81" t="s">
        <v>304</v>
      </c>
      <c r="E81" t="str">
        <f>VLOOKUP(DataTable[[#This Row],[Country]],Market!B:C,2,FALSE)</f>
        <v>Europe</v>
      </c>
      <c r="F81" s="24">
        <v>10</v>
      </c>
      <c r="G81" s="24">
        <v>4179</v>
      </c>
      <c r="H81" s="24">
        <v>12</v>
      </c>
      <c r="I81" s="27">
        <v>1393</v>
      </c>
      <c r="J81" s="24">
        <v>16716</v>
      </c>
      <c r="K81" s="24">
        <v>2340.2399999999998</v>
      </c>
      <c r="L81" s="1" t="s">
        <v>158</v>
      </c>
      <c r="M81" s="24">
        <v>14375.76</v>
      </c>
      <c r="N81" s="24">
        <f t="shared" si="1"/>
        <v>10196.76</v>
      </c>
      <c r="O81" t="str">
        <f>IF(DataTable[[#This Row],[Profit]]/DataTable[[#This Row],[COGS]]*100&gt;20,"Achived","Not Achived")</f>
        <v>Achived</v>
      </c>
      <c r="P81" s="25">
        <f>DataTable[[#This Row],[Profit]]/DataTable[[#This Row],[COGS]]</f>
        <v>2.44</v>
      </c>
      <c r="Q81">
        <f>DataTable[[#This Row],[Manufacturing Price]]*DataTable[[#This Row],[Units Sold]]</f>
        <v>13930</v>
      </c>
      <c r="R81" s="26">
        <f>DataTable[[#This Row],[COGS]]-DataTable[[#This Row],[MC_US]]</f>
        <v>-9751</v>
      </c>
      <c r="S81" s="26">
        <f>IF(DataTable[[#This Row],[COGS-MC_US]]&gt;=0,DataTable[[#This Row],[Manufacturing Price]],DataTable[[#This Row],[COGS]]/DataTable[[#This Row],[Units Sold]])</f>
        <v>3</v>
      </c>
    </row>
    <row r="82" spans="1:19" ht="12.75" x14ac:dyDescent="0.2">
      <c r="A82" s="20">
        <v>41913</v>
      </c>
      <c r="B82" t="s">
        <v>398</v>
      </c>
      <c r="C82" t="s">
        <v>392</v>
      </c>
      <c r="D82" t="s">
        <v>304</v>
      </c>
      <c r="E82" t="str">
        <f>VLOOKUP(DataTable[[#This Row],[Country]],Market!B:C,2,FALSE)</f>
        <v>Europe</v>
      </c>
      <c r="F82" s="24">
        <v>260</v>
      </c>
      <c r="G82" s="24">
        <v>4179</v>
      </c>
      <c r="H82" s="24">
        <v>12</v>
      </c>
      <c r="I82" s="27">
        <v>1393</v>
      </c>
      <c r="J82" s="24">
        <v>16716</v>
      </c>
      <c r="K82" s="24">
        <v>2340.2399999999998</v>
      </c>
      <c r="L82" s="1" t="s">
        <v>158</v>
      </c>
      <c r="M82" s="24">
        <v>14375.76</v>
      </c>
      <c r="N82" s="24">
        <f t="shared" si="1"/>
        <v>10196.76</v>
      </c>
      <c r="O82" t="str">
        <f>IF(DataTable[[#This Row],[Profit]]/DataTable[[#This Row],[COGS]]*100&gt;20,"Achived","Not Achived")</f>
        <v>Achived</v>
      </c>
      <c r="P82" s="25">
        <f>DataTable[[#This Row],[Profit]]/DataTable[[#This Row],[COGS]]</f>
        <v>2.44</v>
      </c>
      <c r="Q82">
        <f>DataTable[[#This Row],[Manufacturing Price]]*DataTable[[#This Row],[Units Sold]]</f>
        <v>362180</v>
      </c>
      <c r="R82" s="26">
        <f>DataTable[[#This Row],[COGS]]-DataTable[[#This Row],[MC_US]]</f>
        <v>-358001</v>
      </c>
      <c r="S82" s="26">
        <f>IF(DataTable[[#This Row],[COGS-MC_US]]&gt;=0,DataTable[[#This Row],[Manufacturing Price]],DataTable[[#This Row],[COGS]]/DataTable[[#This Row],[Units Sold]])</f>
        <v>3</v>
      </c>
    </row>
    <row r="83" spans="1:19" ht="12.75" x14ac:dyDescent="0.2">
      <c r="A83" s="20">
        <v>41852</v>
      </c>
      <c r="B83" t="s">
        <v>398</v>
      </c>
      <c r="C83" t="s">
        <v>392</v>
      </c>
      <c r="D83" t="s">
        <v>304</v>
      </c>
      <c r="E83" t="str">
        <f>VLOOKUP(DataTable[[#This Row],[Country]],Market!B:C,2,FALSE)</f>
        <v>Europe</v>
      </c>
      <c r="F83" s="24">
        <v>260</v>
      </c>
      <c r="G83" s="24">
        <v>7425</v>
      </c>
      <c r="H83" s="24">
        <v>12</v>
      </c>
      <c r="I83" s="27">
        <v>2475</v>
      </c>
      <c r="J83" s="24">
        <v>29700</v>
      </c>
      <c r="K83" s="24">
        <v>4158</v>
      </c>
      <c r="L83" s="1" t="s">
        <v>158</v>
      </c>
      <c r="M83" s="24">
        <v>25542</v>
      </c>
      <c r="N83" s="24">
        <f t="shared" si="1"/>
        <v>18117</v>
      </c>
      <c r="O83" t="str">
        <f>IF(DataTable[[#This Row],[Profit]]/DataTable[[#This Row],[COGS]]*100&gt;20,"Achived","Not Achived")</f>
        <v>Achived</v>
      </c>
      <c r="P83" s="25">
        <f>DataTable[[#This Row],[Profit]]/DataTable[[#This Row],[COGS]]</f>
        <v>2.44</v>
      </c>
      <c r="Q83">
        <f>DataTable[[#This Row],[Manufacturing Price]]*DataTable[[#This Row],[Units Sold]]</f>
        <v>643500</v>
      </c>
      <c r="R83" s="26">
        <f>DataTable[[#This Row],[COGS]]-DataTable[[#This Row],[MC_US]]</f>
        <v>-636075</v>
      </c>
      <c r="S83" s="26">
        <f>IF(DataTable[[#This Row],[COGS-MC_US]]&gt;=0,DataTable[[#This Row],[Manufacturing Price]],DataTable[[#This Row],[COGS]]/DataTable[[#This Row],[Units Sold]])</f>
        <v>3</v>
      </c>
    </row>
    <row r="84" spans="1:19" ht="12.75" hidden="1" x14ac:dyDescent="0.2">
      <c r="A84" s="20">
        <v>41791</v>
      </c>
      <c r="B84" t="s">
        <v>391</v>
      </c>
      <c r="C84" t="s">
        <v>392</v>
      </c>
      <c r="D84" t="s">
        <v>341</v>
      </c>
      <c r="E84" t="str">
        <f>VLOOKUP(DataTable[[#This Row],[Country]],Market!B:C,2,FALSE)</f>
        <v>North America</v>
      </c>
      <c r="F84" s="24">
        <v>5</v>
      </c>
      <c r="G84" s="24">
        <v>7554</v>
      </c>
      <c r="H84" s="24">
        <v>12</v>
      </c>
      <c r="I84" s="27">
        <v>2518</v>
      </c>
      <c r="J84" s="24">
        <v>30216</v>
      </c>
      <c r="K84" s="24">
        <v>0</v>
      </c>
      <c r="L84" s="1" t="s">
        <v>12</v>
      </c>
      <c r="M84" s="24">
        <v>30216</v>
      </c>
      <c r="N84" s="24">
        <f t="shared" si="1"/>
        <v>22662</v>
      </c>
      <c r="O84" t="str">
        <f>IF(DataTable[[#This Row],[Profit]]/DataTable[[#This Row],[COGS]]*100&gt;20,"Achived","Not Achived")</f>
        <v>Achived</v>
      </c>
      <c r="P84" s="25">
        <f>DataTable[[#This Row],[Profit]]/DataTable[[#This Row],[COGS]]</f>
        <v>3</v>
      </c>
      <c r="Q84">
        <f>DataTable[[#This Row],[Manufacturing Price]]*DataTable[[#This Row],[Units Sold]]</f>
        <v>12590</v>
      </c>
      <c r="R84" s="26">
        <f>DataTable[[#This Row],[COGS]]-DataTable[[#This Row],[MC_US]]</f>
        <v>-5036</v>
      </c>
      <c r="S84" s="26">
        <f>IF(DataTable[[#This Row],[COGS-MC_US]]&gt;=0,DataTable[[#This Row],[Manufacturing Price]],DataTable[[#This Row],[COGS]]/DataTable[[#This Row],[Units Sold]])</f>
        <v>3</v>
      </c>
    </row>
    <row r="85" spans="1:19" ht="12.75" hidden="1" x14ac:dyDescent="0.2">
      <c r="A85" s="20">
        <v>41791</v>
      </c>
      <c r="B85" t="s">
        <v>395</v>
      </c>
      <c r="C85" t="s">
        <v>392</v>
      </c>
      <c r="D85" t="s">
        <v>341</v>
      </c>
      <c r="E85" t="str">
        <f>VLOOKUP(DataTable[[#This Row],[Country]],Market!B:C,2,FALSE)</f>
        <v>North America</v>
      </c>
      <c r="F85" s="24">
        <v>10</v>
      </c>
      <c r="G85" s="24">
        <v>7554</v>
      </c>
      <c r="H85" s="24">
        <v>12</v>
      </c>
      <c r="I85" s="27">
        <v>2518</v>
      </c>
      <c r="J85" s="24">
        <v>30216</v>
      </c>
      <c r="K85" s="24">
        <v>0</v>
      </c>
      <c r="L85" s="1" t="s">
        <v>12</v>
      </c>
      <c r="M85" s="24">
        <v>30216</v>
      </c>
      <c r="N85" s="24">
        <f t="shared" si="1"/>
        <v>22662</v>
      </c>
      <c r="O85" t="str">
        <f>IF(DataTable[[#This Row],[Profit]]/DataTable[[#This Row],[COGS]]*100&gt;20,"Achived","Not Achived")</f>
        <v>Achived</v>
      </c>
      <c r="P85" s="25">
        <f>DataTable[[#This Row],[Profit]]/DataTable[[#This Row],[COGS]]</f>
        <v>3</v>
      </c>
      <c r="Q85">
        <f>DataTable[[#This Row],[Manufacturing Price]]*DataTable[[#This Row],[Units Sold]]</f>
        <v>25180</v>
      </c>
      <c r="R85" s="26">
        <f>DataTable[[#This Row],[COGS]]-DataTable[[#This Row],[MC_US]]</f>
        <v>-17626</v>
      </c>
      <c r="S85" s="26">
        <f>IF(DataTable[[#This Row],[COGS-MC_US]]&gt;=0,DataTable[[#This Row],[Manufacturing Price]],DataTable[[#This Row],[COGS]]/DataTable[[#This Row],[Units Sold]])</f>
        <v>3</v>
      </c>
    </row>
    <row r="86" spans="1:19" ht="12.75" hidden="1" x14ac:dyDescent="0.2">
      <c r="A86" s="20">
        <v>41883</v>
      </c>
      <c r="B86" t="s">
        <v>389</v>
      </c>
      <c r="C86" t="s">
        <v>392</v>
      </c>
      <c r="D86" t="s">
        <v>341</v>
      </c>
      <c r="E86" t="str">
        <f>VLOOKUP(DataTable[[#This Row],[Country]],Market!B:C,2,FALSE)</f>
        <v>North America</v>
      </c>
      <c r="F86" s="24">
        <v>3</v>
      </c>
      <c r="G86" s="24">
        <v>4335</v>
      </c>
      <c r="H86" s="24">
        <v>12</v>
      </c>
      <c r="I86" s="27">
        <v>1445</v>
      </c>
      <c r="J86" s="24">
        <v>17340</v>
      </c>
      <c r="K86" s="24">
        <v>173.4</v>
      </c>
      <c r="L86" s="1" t="s">
        <v>57</v>
      </c>
      <c r="M86" s="24">
        <v>17166.599999999999</v>
      </c>
      <c r="N86" s="24">
        <f t="shared" si="1"/>
        <v>12831.599999999999</v>
      </c>
      <c r="O86" t="str">
        <f>IF(DataTable[[#This Row],[Profit]]/DataTable[[#This Row],[COGS]]*100&gt;20,"Achived","Not Achived")</f>
        <v>Achived</v>
      </c>
      <c r="P86" s="25">
        <f>DataTable[[#This Row],[Profit]]/DataTable[[#This Row],[COGS]]</f>
        <v>2.9599999999999995</v>
      </c>
      <c r="Q86">
        <f>DataTable[[#This Row],[Manufacturing Price]]*DataTable[[#This Row],[Units Sold]]</f>
        <v>4335</v>
      </c>
      <c r="R86" s="26">
        <f>DataTable[[#This Row],[COGS]]-DataTable[[#This Row],[MC_US]]</f>
        <v>0</v>
      </c>
      <c r="S86" s="26">
        <f>IF(DataTable[[#This Row],[COGS-MC_US]]&gt;=0,DataTable[[#This Row],[Manufacturing Price]],DataTable[[#This Row],[COGS]]/DataTable[[#This Row],[Units Sold]])</f>
        <v>3</v>
      </c>
    </row>
    <row r="87" spans="1:19" ht="12.75" hidden="1" x14ac:dyDescent="0.2">
      <c r="A87" s="20">
        <v>41913</v>
      </c>
      <c r="B87" t="s">
        <v>389</v>
      </c>
      <c r="C87" t="s">
        <v>392</v>
      </c>
      <c r="D87" t="s">
        <v>341</v>
      </c>
      <c r="E87" t="str">
        <f>VLOOKUP(DataTable[[#This Row],[Country]],Market!B:C,2,FALSE)</f>
        <v>North America</v>
      </c>
      <c r="F87" s="24">
        <v>3</v>
      </c>
      <c r="G87" s="24">
        <v>3885</v>
      </c>
      <c r="H87" s="24">
        <v>12</v>
      </c>
      <c r="I87" s="27">
        <v>1295</v>
      </c>
      <c r="J87" s="24">
        <v>15540</v>
      </c>
      <c r="K87" s="24">
        <v>310.8</v>
      </c>
      <c r="L87" s="1" t="s">
        <v>57</v>
      </c>
      <c r="M87" s="24">
        <v>15229.2</v>
      </c>
      <c r="N87" s="24">
        <f t="shared" si="1"/>
        <v>11344.2</v>
      </c>
      <c r="O87" t="str">
        <f>IF(DataTable[[#This Row],[Profit]]/DataTable[[#This Row],[COGS]]*100&gt;20,"Achived","Not Achived")</f>
        <v>Achived</v>
      </c>
      <c r="P87" s="25">
        <f>DataTable[[#This Row],[Profit]]/DataTable[[#This Row],[COGS]]</f>
        <v>2.9200000000000004</v>
      </c>
      <c r="Q87">
        <f>DataTable[[#This Row],[Manufacturing Price]]*DataTable[[#This Row],[Units Sold]]</f>
        <v>3885</v>
      </c>
      <c r="R87" s="26">
        <f>DataTable[[#This Row],[COGS]]-DataTable[[#This Row],[MC_US]]</f>
        <v>0</v>
      </c>
      <c r="S87" s="26">
        <f>IF(DataTable[[#This Row],[COGS-MC_US]]&gt;=0,DataTable[[#This Row],[Manufacturing Price]],DataTable[[#This Row],[COGS]]/DataTable[[#This Row],[Units Sold]])</f>
        <v>3</v>
      </c>
    </row>
    <row r="88" spans="1:19" ht="12.75" hidden="1" x14ac:dyDescent="0.2">
      <c r="A88" s="20">
        <v>41913</v>
      </c>
      <c r="B88" t="s">
        <v>395</v>
      </c>
      <c r="C88" t="s">
        <v>392</v>
      </c>
      <c r="D88" t="s">
        <v>341</v>
      </c>
      <c r="E88" t="str">
        <f>VLOOKUP(DataTable[[#This Row],[Country]],Market!B:C,2,FALSE)</f>
        <v>North America</v>
      </c>
      <c r="F88" s="24">
        <v>10</v>
      </c>
      <c r="G88" s="24">
        <v>3885</v>
      </c>
      <c r="H88" s="24">
        <v>12</v>
      </c>
      <c r="I88" s="27">
        <v>1295</v>
      </c>
      <c r="J88" s="24">
        <v>15540</v>
      </c>
      <c r="K88" s="24">
        <v>310.8</v>
      </c>
      <c r="L88" s="1" t="s">
        <v>57</v>
      </c>
      <c r="M88" s="24">
        <v>15229.2</v>
      </c>
      <c r="N88" s="24">
        <f t="shared" si="1"/>
        <v>11344.2</v>
      </c>
      <c r="O88" t="str">
        <f>IF(DataTable[[#This Row],[Profit]]/DataTable[[#This Row],[COGS]]*100&gt;20,"Achived","Not Achived")</f>
        <v>Achived</v>
      </c>
      <c r="P88" s="25">
        <f>DataTable[[#This Row],[Profit]]/DataTable[[#This Row],[COGS]]</f>
        <v>2.9200000000000004</v>
      </c>
      <c r="Q88">
        <f>DataTable[[#This Row],[Manufacturing Price]]*DataTable[[#This Row],[Units Sold]]</f>
        <v>12950</v>
      </c>
      <c r="R88" s="26">
        <f>DataTable[[#This Row],[COGS]]-DataTable[[#This Row],[MC_US]]</f>
        <v>-9065</v>
      </c>
      <c r="S88" s="26">
        <f>IF(DataTable[[#This Row],[COGS-MC_US]]&gt;=0,DataTable[[#This Row],[Manufacturing Price]],DataTable[[#This Row],[COGS]]/DataTable[[#This Row],[Units Sold]])</f>
        <v>3</v>
      </c>
    </row>
    <row r="89" spans="1:19" ht="12.75" hidden="1" x14ac:dyDescent="0.2">
      <c r="A89" s="20">
        <v>41609</v>
      </c>
      <c r="B89" t="s">
        <v>389</v>
      </c>
      <c r="C89" t="s">
        <v>392</v>
      </c>
      <c r="D89" t="s">
        <v>341</v>
      </c>
      <c r="E89" t="str">
        <f>VLOOKUP(DataTable[[#This Row],[Country]],Market!B:C,2,FALSE)</f>
        <v>North America</v>
      </c>
      <c r="F89" s="24">
        <v>3</v>
      </c>
      <c r="G89" s="24">
        <v>2724</v>
      </c>
      <c r="H89" s="24">
        <v>12</v>
      </c>
      <c r="I89" s="27">
        <v>908</v>
      </c>
      <c r="J89" s="24">
        <v>10896</v>
      </c>
      <c r="K89" s="24">
        <v>326.88</v>
      </c>
      <c r="L89" s="1" t="s">
        <v>57</v>
      </c>
      <c r="M89" s="24">
        <v>10569.12</v>
      </c>
      <c r="N89" s="24">
        <f t="shared" si="1"/>
        <v>7845.1200000000008</v>
      </c>
      <c r="O89" t="str">
        <f>IF(DataTable[[#This Row],[Profit]]/DataTable[[#This Row],[COGS]]*100&gt;20,"Achived","Not Achived")</f>
        <v>Achived</v>
      </c>
      <c r="P89" s="25">
        <f>DataTable[[#This Row],[Profit]]/DataTable[[#This Row],[COGS]]</f>
        <v>2.8800000000000003</v>
      </c>
      <c r="Q89">
        <f>DataTable[[#This Row],[Manufacturing Price]]*DataTable[[#This Row],[Units Sold]]</f>
        <v>2724</v>
      </c>
      <c r="R89" s="26">
        <f>DataTable[[#This Row],[COGS]]-DataTable[[#This Row],[MC_US]]</f>
        <v>0</v>
      </c>
      <c r="S89" s="26">
        <f>IF(DataTable[[#This Row],[COGS-MC_US]]&gt;=0,DataTable[[#This Row],[Manufacturing Price]],DataTable[[#This Row],[COGS]]/DataTable[[#This Row],[Units Sold]])</f>
        <v>3</v>
      </c>
    </row>
    <row r="90" spans="1:19" ht="12.75" hidden="1" x14ac:dyDescent="0.2">
      <c r="A90" s="20">
        <v>41974</v>
      </c>
      <c r="B90" t="s">
        <v>395</v>
      </c>
      <c r="C90" t="s">
        <v>392</v>
      </c>
      <c r="D90" t="s">
        <v>341</v>
      </c>
      <c r="E90" t="str">
        <f>VLOOKUP(DataTable[[#This Row],[Country]],Market!B:C,2,FALSE)</f>
        <v>North America</v>
      </c>
      <c r="F90" s="24">
        <v>10</v>
      </c>
      <c r="G90" s="24">
        <v>7293</v>
      </c>
      <c r="H90" s="24">
        <v>12</v>
      </c>
      <c r="I90" s="27">
        <v>2431</v>
      </c>
      <c r="J90" s="24">
        <v>29172</v>
      </c>
      <c r="K90" s="24">
        <v>1458.6</v>
      </c>
      <c r="L90" s="1" t="s">
        <v>124</v>
      </c>
      <c r="M90" s="24">
        <v>27713.4</v>
      </c>
      <c r="N90" s="24">
        <f t="shared" si="1"/>
        <v>20420.400000000001</v>
      </c>
      <c r="O90" t="str">
        <f>IF(DataTable[[#This Row],[Profit]]/DataTable[[#This Row],[COGS]]*100&gt;20,"Achived","Not Achived")</f>
        <v>Achived</v>
      </c>
      <c r="P90" s="25">
        <f>DataTable[[#This Row],[Profit]]/DataTable[[#This Row],[COGS]]</f>
        <v>2.8000000000000003</v>
      </c>
      <c r="Q90">
        <f>DataTable[[#This Row],[Manufacturing Price]]*DataTable[[#This Row],[Units Sold]]</f>
        <v>24310</v>
      </c>
      <c r="R90" s="26">
        <f>DataTable[[#This Row],[COGS]]-DataTable[[#This Row],[MC_US]]</f>
        <v>-17017</v>
      </c>
      <c r="S90" s="26">
        <f>IF(DataTable[[#This Row],[COGS-MC_US]]&gt;=0,DataTable[[#This Row],[Manufacturing Price]],DataTable[[#This Row],[COGS]]/DataTable[[#This Row],[Units Sold]])</f>
        <v>3</v>
      </c>
    </row>
    <row r="91" spans="1:19" ht="12.75" hidden="1" x14ac:dyDescent="0.2">
      <c r="A91" s="20">
        <v>41974</v>
      </c>
      <c r="B91" t="s">
        <v>396</v>
      </c>
      <c r="C91" t="s">
        <v>392</v>
      </c>
      <c r="D91" t="s">
        <v>341</v>
      </c>
      <c r="E91" t="str">
        <f>VLOOKUP(DataTable[[#This Row],[Country]],Market!B:C,2,FALSE)</f>
        <v>North America</v>
      </c>
      <c r="F91" s="24">
        <v>120</v>
      </c>
      <c r="G91" s="24">
        <v>7293</v>
      </c>
      <c r="H91" s="24">
        <v>12</v>
      </c>
      <c r="I91" s="27">
        <v>2431</v>
      </c>
      <c r="J91" s="24">
        <v>29172</v>
      </c>
      <c r="K91" s="24">
        <v>1458.6</v>
      </c>
      <c r="L91" s="1" t="s">
        <v>124</v>
      </c>
      <c r="M91" s="24">
        <v>27713.4</v>
      </c>
      <c r="N91" s="24">
        <f t="shared" si="1"/>
        <v>20420.400000000001</v>
      </c>
      <c r="O91" t="str">
        <f>IF(DataTable[[#This Row],[Profit]]/DataTable[[#This Row],[COGS]]*100&gt;20,"Achived","Not Achived")</f>
        <v>Achived</v>
      </c>
      <c r="P91" s="25">
        <f>DataTable[[#This Row],[Profit]]/DataTable[[#This Row],[COGS]]</f>
        <v>2.8000000000000003</v>
      </c>
      <c r="Q91">
        <f>DataTable[[#This Row],[Manufacturing Price]]*DataTable[[#This Row],[Units Sold]]</f>
        <v>291720</v>
      </c>
      <c r="R91" s="26">
        <f>DataTable[[#This Row],[COGS]]-DataTable[[#This Row],[MC_US]]</f>
        <v>-284427</v>
      </c>
      <c r="S91" s="26">
        <f>IF(DataTable[[#This Row],[COGS-MC_US]]&gt;=0,DataTable[[#This Row],[Manufacturing Price]],DataTable[[#This Row],[COGS]]/DataTable[[#This Row],[Units Sold]])</f>
        <v>3</v>
      </c>
    </row>
    <row r="92" spans="1:19" ht="12.75" hidden="1" x14ac:dyDescent="0.2">
      <c r="A92" s="20">
        <v>41548</v>
      </c>
      <c r="B92" t="s">
        <v>389</v>
      </c>
      <c r="C92" t="s">
        <v>392</v>
      </c>
      <c r="D92" t="s">
        <v>341</v>
      </c>
      <c r="E92" t="str">
        <f>VLOOKUP(DataTable[[#This Row],[Country]],Market!B:C,2,FALSE)</f>
        <v>North America</v>
      </c>
      <c r="F92" s="24">
        <v>3</v>
      </c>
      <c r="G92" s="24">
        <v>6897</v>
      </c>
      <c r="H92" s="24">
        <v>12</v>
      </c>
      <c r="I92" s="27">
        <v>2299</v>
      </c>
      <c r="J92" s="24">
        <v>27588</v>
      </c>
      <c r="K92" s="24">
        <v>1655.28</v>
      </c>
      <c r="L92" s="1" t="s">
        <v>124</v>
      </c>
      <c r="M92" s="24">
        <v>25932.720000000001</v>
      </c>
      <c r="N92" s="24">
        <f t="shared" si="1"/>
        <v>19035.72</v>
      </c>
      <c r="O92" t="str">
        <f>IF(DataTable[[#This Row],[Profit]]/DataTable[[#This Row],[COGS]]*100&gt;20,"Achived","Not Achived")</f>
        <v>Achived</v>
      </c>
      <c r="P92" s="25">
        <f>DataTable[[#This Row],[Profit]]/DataTable[[#This Row],[COGS]]</f>
        <v>2.7600000000000002</v>
      </c>
      <c r="Q92">
        <f>DataTable[[#This Row],[Manufacturing Price]]*DataTable[[#This Row],[Units Sold]]</f>
        <v>6897</v>
      </c>
      <c r="R92" s="26">
        <f>DataTable[[#This Row],[COGS]]-DataTable[[#This Row],[MC_US]]</f>
        <v>0</v>
      </c>
      <c r="S92" s="26">
        <f>IF(DataTable[[#This Row],[COGS-MC_US]]&gt;=0,DataTable[[#This Row],[Manufacturing Price]],DataTable[[#This Row],[COGS]]/DataTable[[#This Row],[Units Sold]])</f>
        <v>3</v>
      </c>
    </row>
    <row r="93" spans="1:19" ht="12.75" hidden="1" x14ac:dyDescent="0.2">
      <c r="A93" s="20">
        <v>41548</v>
      </c>
      <c r="B93" t="s">
        <v>395</v>
      </c>
      <c r="C93" t="s">
        <v>392</v>
      </c>
      <c r="D93" t="s">
        <v>341</v>
      </c>
      <c r="E93" t="str">
        <f>VLOOKUP(DataTable[[#This Row],[Country]],Market!B:C,2,FALSE)</f>
        <v>North America</v>
      </c>
      <c r="F93" s="24">
        <v>10</v>
      </c>
      <c r="G93" s="24">
        <v>6897</v>
      </c>
      <c r="H93" s="24">
        <v>12</v>
      </c>
      <c r="I93" s="27">
        <v>2299</v>
      </c>
      <c r="J93" s="24">
        <v>27588</v>
      </c>
      <c r="K93" s="24">
        <v>1655.28</v>
      </c>
      <c r="L93" s="1" t="s">
        <v>124</v>
      </c>
      <c r="M93" s="24">
        <v>25932.720000000001</v>
      </c>
      <c r="N93" s="24">
        <f t="shared" si="1"/>
        <v>19035.72</v>
      </c>
      <c r="O93" t="str">
        <f>IF(DataTable[[#This Row],[Profit]]/DataTable[[#This Row],[COGS]]*100&gt;20,"Achived","Not Achived")</f>
        <v>Achived</v>
      </c>
      <c r="P93" s="25">
        <f>DataTable[[#This Row],[Profit]]/DataTable[[#This Row],[COGS]]</f>
        <v>2.7600000000000002</v>
      </c>
      <c r="Q93">
        <f>DataTable[[#This Row],[Manufacturing Price]]*DataTable[[#This Row],[Units Sold]]</f>
        <v>22990</v>
      </c>
      <c r="R93" s="26">
        <f>DataTable[[#This Row],[COGS]]-DataTable[[#This Row],[MC_US]]</f>
        <v>-16093</v>
      </c>
      <c r="S93" s="26">
        <f>IF(DataTable[[#This Row],[COGS-MC_US]]&gt;=0,DataTable[[#This Row],[Manufacturing Price]],DataTable[[#This Row],[COGS]]/DataTable[[#This Row],[Units Sold]])</f>
        <v>3</v>
      </c>
    </row>
    <row r="94" spans="1:19" ht="12.75" hidden="1" x14ac:dyDescent="0.2">
      <c r="A94" s="20">
        <v>41852</v>
      </c>
      <c r="B94" t="s">
        <v>389</v>
      </c>
      <c r="C94" t="s">
        <v>392</v>
      </c>
      <c r="D94" t="s">
        <v>341</v>
      </c>
      <c r="E94" t="str">
        <f>VLOOKUP(DataTable[[#This Row],[Country]],Market!B:C,2,FALSE)</f>
        <v>North America</v>
      </c>
      <c r="F94" s="24">
        <v>3</v>
      </c>
      <c r="G94" s="24">
        <v>5652</v>
      </c>
      <c r="H94" s="24">
        <v>12</v>
      </c>
      <c r="I94" s="27">
        <v>1884</v>
      </c>
      <c r="J94" s="24">
        <v>22608</v>
      </c>
      <c r="K94" s="24">
        <v>1582.56</v>
      </c>
      <c r="L94" s="1" t="s">
        <v>124</v>
      </c>
      <c r="M94" s="24">
        <v>21025.439999999999</v>
      </c>
      <c r="N94" s="24">
        <f t="shared" si="1"/>
        <v>15373.439999999999</v>
      </c>
      <c r="O94" t="str">
        <f>IF(DataTable[[#This Row],[Profit]]/DataTable[[#This Row],[COGS]]*100&gt;20,"Achived","Not Achived")</f>
        <v>Achived</v>
      </c>
      <c r="P94" s="25">
        <f>DataTable[[#This Row],[Profit]]/DataTable[[#This Row],[COGS]]</f>
        <v>2.7199999999999998</v>
      </c>
      <c r="Q94">
        <f>DataTable[[#This Row],[Manufacturing Price]]*DataTable[[#This Row],[Units Sold]]</f>
        <v>5652</v>
      </c>
      <c r="R94" s="26">
        <f>DataTable[[#This Row],[COGS]]-DataTable[[#This Row],[MC_US]]</f>
        <v>0</v>
      </c>
      <c r="S94" s="26">
        <f>IF(DataTable[[#This Row],[COGS-MC_US]]&gt;=0,DataTable[[#This Row],[Manufacturing Price]],DataTable[[#This Row],[COGS]]/DataTable[[#This Row],[Units Sold]])</f>
        <v>3</v>
      </c>
    </row>
    <row r="95" spans="1:19" ht="12.75" hidden="1" x14ac:dyDescent="0.2">
      <c r="A95" s="20">
        <v>41640</v>
      </c>
      <c r="B95" t="s">
        <v>397</v>
      </c>
      <c r="C95" t="s">
        <v>392</v>
      </c>
      <c r="D95" t="s">
        <v>341</v>
      </c>
      <c r="E95" t="str">
        <f>VLOOKUP(DataTable[[#This Row],[Country]],Market!B:C,2,FALSE)</f>
        <v>North America</v>
      </c>
      <c r="F95" s="24">
        <v>250</v>
      </c>
      <c r="G95" s="24">
        <v>9733.5</v>
      </c>
      <c r="H95" s="24">
        <v>12</v>
      </c>
      <c r="I95" s="27">
        <v>3244.5</v>
      </c>
      <c r="J95" s="24">
        <v>38934</v>
      </c>
      <c r="K95" s="24">
        <v>2725.38</v>
      </c>
      <c r="L95" s="1" t="s">
        <v>124</v>
      </c>
      <c r="M95" s="24">
        <v>36208.620000000003</v>
      </c>
      <c r="N95" s="24">
        <f t="shared" si="1"/>
        <v>26475.120000000003</v>
      </c>
      <c r="O95" t="str">
        <f>IF(DataTable[[#This Row],[Profit]]/DataTable[[#This Row],[COGS]]*100&gt;20,"Achived","Not Achived")</f>
        <v>Achived</v>
      </c>
      <c r="P95" s="25">
        <f>DataTable[[#This Row],[Profit]]/DataTable[[#This Row],[COGS]]</f>
        <v>2.72</v>
      </c>
      <c r="Q95">
        <f>DataTable[[#This Row],[Manufacturing Price]]*DataTable[[#This Row],[Units Sold]]</f>
        <v>811125</v>
      </c>
      <c r="R95" s="26">
        <f>DataTable[[#This Row],[COGS]]-DataTable[[#This Row],[MC_US]]</f>
        <v>-801391.5</v>
      </c>
      <c r="S95" s="26">
        <f>IF(DataTable[[#This Row],[COGS-MC_US]]&gt;=0,DataTable[[#This Row],[Manufacturing Price]],DataTable[[#This Row],[COGS]]/DataTable[[#This Row],[Units Sold]])</f>
        <v>3</v>
      </c>
    </row>
    <row r="96" spans="1:19" ht="12.75" hidden="1" x14ac:dyDescent="0.2">
      <c r="A96" s="20">
        <v>41699</v>
      </c>
      <c r="B96" t="s">
        <v>396</v>
      </c>
      <c r="C96" t="s">
        <v>392</v>
      </c>
      <c r="D96" t="s">
        <v>341</v>
      </c>
      <c r="E96" t="str">
        <f>VLOOKUP(DataTable[[#This Row],[Country]],Market!B:C,2,FALSE)</f>
        <v>North America</v>
      </c>
      <c r="F96" s="24">
        <v>120</v>
      </c>
      <c r="G96" s="24">
        <v>1794</v>
      </c>
      <c r="H96" s="24">
        <v>12</v>
      </c>
      <c r="I96" s="27">
        <v>598</v>
      </c>
      <c r="J96" s="24">
        <v>7176</v>
      </c>
      <c r="K96" s="24">
        <v>574.08000000000004</v>
      </c>
      <c r="L96" s="1" t="s">
        <v>124</v>
      </c>
      <c r="M96" s="24">
        <v>6601.92</v>
      </c>
      <c r="N96" s="24">
        <f t="shared" si="1"/>
        <v>4807.92</v>
      </c>
      <c r="O96" t="str">
        <f>IF(DataTable[[#This Row],[Profit]]/DataTable[[#This Row],[COGS]]*100&gt;20,"Achived","Not Achived")</f>
        <v>Achived</v>
      </c>
      <c r="P96" s="25">
        <f>DataTable[[#This Row],[Profit]]/DataTable[[#This Row],[COGS]]</f>
        <v>2.68</v>
      </c>
      <c r="Q96">
        <f>DataTable[[#This Row],[Manufacturing Price]]*DataTable[[#This Row],[Units Sold]]</f>
        <v>71760</v>
      </c>
      <c r="R96" s="26">
        <f>DataTable[[#This Row],[COGS]]-DataTable[[#This Row],[MC_US]]</f>
        <v>-69966</v>
      </c>
      <c r="S96" s="26">
        <f>IF(DataTable[[#This Row],[COGS-MC_US]]&gt;=0,DataTable[[#This Row],[Manufacturing Price]],DataTable[[#This Row],[COGS]]/DataTable[[#This Row],[Units Sold]])</f>
        <v>3</v>
      </c>
    </row>
    <row r="97" spans="1:19" ht="12.75" hidden="1" x14ac:dyDescent="0.2">
      <c r="A97" s="20">
        <v>41944</v>
      </c>
      <c r="B97" t="s">
        <v>391</v>
      </c>
      <c r="C97" t="s">
        <v>392</v>
      </c>
      <c r="D97" t="s">
        <v>341</v>
      </c>
      <c r="E97" t="str">
        <f>VLOOKUP(DataTable[[#This Row],[Country]],Market!B:C,2,FALSE)</f>
        <v>North America</v>
      </c>
      <c r="F97" s="24">
        <v>5</v>
      </c>
      <c r="G97" s="24">
        <v>6963</v>
      </c>
      <c r="H97" s="24">
        <v>12</v>
      </c>
      <c r="I97" s="27">
        <v>2321</v>
      </c>
      <c r="J97" s="24">
        <v>27852</v>
      </c>
      <c r="K97" s="24">
        <v>2506.6799999999998</v>
      </c>
      <c r="L97" s="1" t="s">
        <v>124</v>
      </c>
      <c r="M97" s="24">
        <v>25345.32</v>
      </c>
      <c r="N97" s="24">
        <f t="shared" si="1"/>
        <v>18382.32</v>
      </c>
      <c r="O97" t="str">
        <f>IF(DataTable[[#This Row],[Profit]]/DataTable[[#This Row],[COGS]]*100&gt;20,"Achived","Not Achived")</f>
        <v>Achived</v>
      </c>
      <c r="P97" s="25">
        <f>DataTable[[#This Row],[Profit]]/DataTable[[#This Row],[COGS]]</f>
        <v>2.64</v>
      </c>
      <c r="Q97">
        <f>DataTable[[#This Row],[Manufacturing Price]]*DataTable[[#This Row],[Units Sold]]</f>
        <v>11605</v>
      </c>
      <c r="R97" s="26">
        <f>DataTable[[#This Row],[COGS]]-DataTable[[#This Row],[MC_US]]</f>
        <v>-4642</v>
      </c>
      <c r="S97" s="26">
        <f>IF(DataTable[[#This Row],[COGS-MC_US]]&gt;=0,DataTable[[#This Row],[Manufacturing Price]],DataTable[[#This Row],[COGS]]/DataTable[[#This Row],[Units Sold]])</f>
        <v>3</v>
      </c>
    </row>
    <row r="98" spans="1:19" ht="12.75" x14ac:dyDescent="0.2">
      <c r="A98" s="20">
        <v>41730</v>
      </c>
      <c r="B98" t="s">
        <v>398</v>
      </c>
      <c r="C98" t="s">
        <v>392</v>
      </c>
      <c r="D98" t="s">
        <v>341</v>
      </c>
      <c r="E98" t="str">
        <f>VLOOKUP(DataTable[[#This Row],[Country]],Market!B:C,2,FALSE)</f>
        <v>North America</v>
      </c>
      <c r="F98" s="24">
        <v>260</v>
      </c>
      <c r="G98" s="24">
        <v>10561.5</v>
      </c>
      <c r="H98" s="24">
        <v>12</v>
      </c>
      <c r="I98" s="27">
        <v>3520.5</v>
      </c>
      <c r="J98" s="24">
        <v>42246</v>
      </c>
      <c r="K98" s="24">
        <v>4224.6000000000004</v>
      </c>
      <c r="L98" s="1" t="s">
        <v>158</v>
      </c>
      <c r="M98" s="24">
        <v>38021.4</v>
      </c>
      <c r="N98" s="24">
        <f t="shared" si="1"/>
        <v>27459.9</v>
      </c>
      <c r="O98" t="str">
        <f>IF(DataTable[[#This Row],[Profit]]/DataTable[[#This Row],[COGS]]*100&gt;20,"Achived","Not Achived")</f>
        <v>Achived</v>
      </c>
      <c r="P98" s="25">
        <f>DataTable[[#This Row],[Profit]]/DataTable[[#This Row],[COGS]]</f>
        <v>2.6</v>
      </c>
      <c r="Q98">
        <f>DataTable[[#This Row],[Manufacturing Price]]*DataTable[[#This Row],[Units Sold]]</f>
        <v>915330</v>
      </c>
      <c r="R98" s="26">
        <f>DataTable[[#This Row],[COGS]]-DataTable[[#This Row],[MC_US]]</f>
        <v>-904768.5</v>
      </c>
      <c r="S98" s="26">
        <f>IF(DataTable[[#This Row],[COGS-MC_US]]&gt;=0,DataTable[[#This Row],[Manufacturing Price]],DataTable[[#This Row],[COGS]]/DataTable[[#This Row],[Units Sold]])</f>
        <v>3</v>
      </c>
    </row>
    <row r="99" spans="1:19" ht="12.75" x14ac:dyDescent="0.2">
      <c r="A99" s="20">
        <v>41671</v>
      </c>
      <c r="B99" t="s">
        <v>389</v>
      </c>
      <c r="C99" t="s">
        <v>392</v>
      </c>
      <c r="D99" t="s">
        <v>341</v>
      </c>
      <c r="E99" t="str">
        <f>VLOOKUP(DataTable[[#This Row],[Country]],Market!B:C,2,FALSE)</f>
        <v>North America</v>
      </c>
      <c r="F99" s="24">
        <v>3</v>
      </c>
      <c r="G99" s="24">
        <v>5811</v>
      </c>
      <c r="H99" s="24">
        <v>12</v>
      </c>
      <c r="I99" s="27">
        <v>1937</v>
      </c>
      <c r="J99" s="24">
        <v>23244</v>
      </c>
      <c r="K99" s="24">
        <v>2556.84</v>
      </c>
      <c r="L99" s="1" t="s">
        <v>158</v>
      </c>
      <c r="M99" s="24">
        <v>20687.16</v>
      </c>
      <c r="N99" s="24">
        <f t="shared" si="1"/>
        <v>14876.16</v>
      </c>
      <c r="O99" t="str">
        <f>IF(DataTable[[#This Row],[Profit]]/DataTable[[#This Row],[COGS]]*100&gt;20,"Achived","Not Achived")</f>
        <v>Achived</v>
      </c>
      <c r="P99" s="25">
        <f>DataTable[[#This Row],[Profit]]/DataTable[[#This Row],[COGS]]</f>
        <v>2.56</v>
      </c>
      <c r="Q99">
        <f>DataTable[[#This Row],[Manufacturing Price]]*DataTable[[#This Row],[Units Sold]]</f>
        <v>5811</v>
      </c>
      <c r="R99" s="26">
        <f>DataTable[[#This Row],[COGS]]-DataTable[[#This Row],[MC_US]]</f>
        <v>0</v>
      </c>
      <c r="S99" s="26">
        <f>IF(DataTable[[#This Row],[COGS-MC_US]]&gt;=0,DataTable[[#This Row],[Manufacturing Price]],DataTable[[#This Row],[COGS]]/DataTable[[#This Row],[Units Sold]])</f>
        <v>3</v>
      </c>
    </row>
    <row r="100" spans="1:19" ht="12.75" x14ac:dyDescent="0.2">
      <c r="A100" s="20">
        <v>41821</v>
      </c>
      <c r="B100" t="s">
        <v>395</v>
      </c>
      <c r="C100" t="s">
        <v>392</v>
      </c>
      <c r="D100" t="s">
        <v>341</v>
      </c>
      <c r="E100" t="str">
        <f>VLOOKUP(DataTable[[#This Row],[Country]],Market!B:C,2,FALSE)</f>
        <v>North America</v>
      </c>
      <c r="F100" s="24">
        <v>10</v>
      </c>
      <c r="G100" s="24">
        <v>12078</v>
      </c>
      <c r="H100" s="24">
        <v>12</v>
      </c>
      <c r="I100" s="27">
        <v>4026</v>
      </c>
      <c r="J100" s="24">
        <v>48312</v>
      </c>
      <c r="K100" s="24">
        <v>5314.32</v>
      </c>
      <c r="L100" s="1" t="s">
        <v>158</v>
      </c>
      <c r="M100" s="24">
        <v>42997.68</v>
      </c>
      <c r="N100" s="24">
        <f t="shared" si="1"/>
        <v>30919.68</v>
      </c>
      <c r="O100" t="str">
        <f>IF(DataTable[[#This Row],[Profit]]/DataTable[[#This Row],[COGS]]*100&gt;20,"Achived","Not Achived")</f>
        <v>Achived</v>
      </c>
      <c r="P100" s="25">
        <f>DataTable[[#This Row],[Profit]]/DataTable[[#This Row],[COGS]]</f>
        <v>2.56</v>
      </c>
      <c r="Q100">
        <f>DataTable[[#This Row],[Manufacturing Price]]*DataTable[[#This Row],[Units Sold]]</f>
        <v>40260</v>
      </c>
      <c r="R100" s="26">
        <f>DataTable[[#This Row],[COGS]]-DataTable[[#This Row],[MC_US]]</f>
        <v>-28182</v>
      </c>
      <c r="S100" s="26">
        <f>IF(DataTable[[#This Row],[COGS-MC_US]]&gt;=0,DataTable[[#This Row],[Manufacturing Price]],DataTable[[#This Row],[COGS]]/DataTable[[#This Row],[Units Sold]])</f>
        <v>3</v>
      </c>
    </row>
    <row r="101" spans="1:19" ht="12.75" x14ac:dyDescent="0.2">
      <c r="A101" s="20">
        <v>41760</v>
      </c>
      <c r="B101" t="s">
        <v>397</v>
      </c>
      <c r="C101" t="s">
        <v>392</v>
      </c>
      <c r="D101" t="s">
        <v>341</v>
      </c>
      <c r="E101" t="str">
        <f>VLOOKUP(DataTable[[#This Row],[Country]],Market!B:C,2,FALSE)</f>
        <v>North America</v>
      </c>
      <c r="F101" s="24">
        <v>250</v>
      </c>
      <c r="G101" s="24">
        <v>6327</v>
      </c>
      <c r="H101" s="24">
        <v>12</v>
      </c>
      <c r="I101" s="27">
        <v>2109</v>
      </c>
      <c r="J101" s="24">
        <v>25308</v>
      </c>
      <c r="K101" s="24">
        <v>3036.96</v>
      </c>
      <c r="L101" s="1" t="s">
        <v>158</v>
      </c>
      <c r="M101" s="24">
        <v>22271.040000000001</v>
      </c>
      <c r="N101" s="24">
        <f t="shared" si="1"/>
        <v>15944.04</v>
      </c>
      <c r="O101" t="str">
        <f>IF(DataTable[[#This Row],[Profit]]/DataTable[[#This Row],[COGS]]*100&gt;20,"Achived","Not Achived")</f>
        <v>Achived</v>
      </c>
      <c r="P101" s="25">
        <f>DataTable[[#This Row],[Profit]]/DataTable[[#This Row],[COGS]]</f>
        <v>2.52</v>
      </c>
      <c r="Q101">
        <f>DataTable[[#This Row],[Manufacturing Price]]*DataTable[[#This Row],[Units Sold]]</f>
        <v>527250</v>
      </c>
      <c r="R101" s="26">
        <f>DataTable[[#This Row],[COGS]]-DataTable[[#This Row],[MC_US]]</f>
        <v>-520923</v>
      </c>
      <c r="S101" s="26">
        <f>IF(DataTable[[#This Row],[COGS-MC_US]]&gt;=0,DataTable[[#This Row],[Manufacturing Price]],DataTable[[#This Row],[COGS]]/DataTable[[#This Row],[Units Sold]])</f>
        <v>3</v>
      </c>
    </row>
    <row r="102" spans="1:19" ht="12.75" x14ac:dyDescent="0.2">
      <c r="A102" s="20">
        <v>41518</v>
      </c>
      <c r="B102" t="s">
        <v>398</v>
      </c>
      <c r="C102" t="s">
        <v>392</v>
      </c>
      <c r="D102" t="s">
        <v>341</v>
      </c>
      <c r="E102" t="str">
        <f>VLOOKUP(DataTable[[#This Row],[Country]],Market!B:C,2,FALSE)</f>
        <v>North America</v>
      </c>
      <c r="F102" s="24">
        <v>260</v>
      </c>
      <c r="G102" s="24">
        <v>8283</v>
      </c>
      <c r="H102" s="24">
        <v>12</v>
      </c>
      <c r="I102" s="27">
        <v>2761</v>
      </c>
      <c r="J102" s="24">
        <v>33132</v>
      </c>
      <c r="K102" s="24">
        <v>3975.84</v>
      </c>
      <c r="L102" s="1" t="s">
        <v>158</v>
      </c>
      <c r="M102" s="24">
        <v>29156.16</v>
      </c>
      <c r="N102" s="24">
        <f t="shared" si="1"/>
        <v>20873.16</v>
      </c>
      <c r="O102" t="str">
        <f>IF(DataTable[[#This Row],[Profit]]/DataTable[[#This Row],[COGS]]*100&gt;20,"Achived","Not Achived")</f>
        <v>Achived</v>
      </c>
      <c r="P102" s="25">
        <f>DataTable[[#This Row],[Profit]]/DataTable[[#This Row],[COGS]]</f>
        <v>2.52</v>
      </c>
      <c r="Q102">
        <f>DataTable[[#This Row],[Manufacturing Price]]*DataTable[[#This Row],[Units Sold]]</f>
        <v>717860</v>
      </c>
      <c r="R102" s="26">
        <f>DataTable[[#This Row],[COGS]]-DataTable[[#This Row],[MC_US]]</f>
        <v>-709577</v>
      </c>
      <c r="S102" s="26">
        <f>IF(DataTable[[#This Row],[COGS-MC_US]]&gt;=0,DataTable[[#This Row],[Manufacturing Price]],DataTable[[#This Row],[COGS]]/DataTable[[#This Row],[Units Sold]])</f>
        <v>3</v>
      </c>
    </row>
    <row r="103" spans="1:19" ht="12.75" x14ac:dyDescent="0.2">
      <c r="A103" s="20">
        <v>41579</v>
      </c>
      <c r="B103" t="s">
        <v>395</v>
      </c>
      <c r="C103" t="s">
        <v>392</v>
      </c>
      <c r="D103" t="s">
        <v>341</v>
      </c>
      <c r="E103" t="str">
        <f>VLOOKUP(DataTable[[#This Row],[Country]],Market!B:C,2,FALSE)</f>
        <v>North America</v>
      </c>
      <c r="F103" s="24">
        <v>10</v>
      </c>
      <c r="G103" s="24">
        <v>6666</v>
      </c>
      <c r="H103" s="24">
        <v>12</v>
      </c>
      <c r="I103" s="27">
        <v>2222</v>
      </c>
      <c r="J103" s="24">
        <v>26664</v>
      </c>
      <c r="K103" s="24">
        <v>3732.96</v>
      </c>
      <c r="L103" s="1" t="s">
        <v>158</v>
      </c>
      <c r="M103" s="24">
        <v>22931.040000000001</v>
      </c>
      <c r="N103" s="24">
        <f t="shared" si="1"/>
        <v>16265.04</v>
      </c>
      <c r="O103" t="str">
        <f>IF(DataTable[[#This Row],[Profit]]/DataTable[[#This Row],[COGS]]*100&gt;20,"Achived","Not Achived")</f>
        <v>Achived</v>
      </c>
      <c r="P103" s="25">
        <f>DataTable[[#This Row],[Profit]]/DataTable[[#This Row],[COGS]]</f>
        <v>2.44</v>
      </c>
      <c r="Q103">
        <f>DataTable[[#This Row],[Manufacturing Price]]*DataTable[[#This Row],[Units Sold]]</f>
        <v>22220</v>
      </c>
      <c r="R103" s="26">
        <f>DataTable[[#This Row],[COGS]]-DataTable[[#This Row],[MC_US]]</f>
        <v>-15554</v>
      </c>
      <c r="S103" s="26">
        <f>IF(DataTable[[#This Row],[COGS-MC_US]]&gt;=0,DataTable[[#This Row],[Manufacturing Price]],DataTable[[#This Row],[COGS]]/DataTable[[#This Row],[Units Sold]])</f>
        <v>3</v>
      </c>
    </row>
    <row r="104" spans="1:19" ht="12.75" hidden="1" x14ac:dyDescent="0.2">
      <c r="A104" s="20">
        <v>41852</v>
      </c>
      <c r="B104" t="s">
        <v>396</v>
      </c>
      <c r="C104" t="s">
        <v>393</v>
      </c>
      <c r="D104" t="s">
        <v>359</v>
      </c>
      <c r="E104" t="str">
        <f>VLOOKUP(DataTable[[#This Row],[Country]],Market!B:C,2,FALSE)</f>
        <v>North America</v>
      </c>
      <c r="F104" s="24">
        <v>120</v>
      </c>
      <c r="G104" s="24">
        <v>338520</v>
      </c>
      <c r="H104" s="24">
        <v>125</v>
      </c>
      <c r="I104" s="27">
        <v>2821</v>
      </c>
      <c r="J104" s="24">
        <v>352625</v>
      </c>
      <c r="K104" s="24">
        <v>0</v>
      </c>
      <c r="L104" s="1" t="s">
        <v>12</v>
      </c>
      <c r="M104" s="24">
        <v>352625</v>
      </c>
      <c r="N104" s="24">
        <f t="shared" si="1"/>
        <v>14105</v>
      </c>
      <c r="O104" t="str">
        <f>IF(DataTable[[#This Row],[Profit]]/DataTable[[#This Row],[COGS]]*100&gt;20,"Achived","Not Achived")</f>
        <v>Not Achived</v>
      </c>
      <c r="P104" s="25">
        <f>DataTable[[#This Row],[Profit]]/DataTable[[#This Row],[COGS]]</f>
        <v>4.1666666666666664E-2</v>
      </c>
      <c r="Q104">
        <f>DataTable[[#This Row],[Manufacturing Price]]*DataTable[[#This Row],[Units Sold]]</f>
        <v>338520</v>
      </c>
      <c r="R104" s="26">
        <f>DataTable[[#This Row],[COGS]]-DataTable[[#This Row],[MC_US]]</f>
        <v>0</v>
      </c>
      <c r="S104" s="26">
        <f>IF(DataTable[[#This Row],[COGS-MC_US]]&gt;=0,DataTable[[#This Row],[Manufacturing Price]],DataTable[[#This Row],[COGS]]/DataTable[[#This Row],[Units Sold]])</f>
        <v>120</v>
      </c>
    </row>
    <row r="105" spans="1:19" ht="12.75" hidden="1" x14ac:dyDescent="0.2">
      <c r="A105" s="20">
        <v>41518</v>
      </c>
      <c r="B105" t="s">
        <v>389</v>
      </c>
      <c r="C105" t="s">
        <v>393</v>
      </c>
      <c r="D105" t="s">
        <v>359</v>
      </c>
      <c r="E105" t="str">
        <f>VLOOKUP(DataTable[[#This Row],[Country]],Market!B:C,2,FALSE)</f>
        <v>North America</v>
      </c>
      <c r="F105" s="24">
        <v>3</v>
      </c>
      <c r="G105" s="24">
        <v>39600</v>
      </c>
      <c r="H105" s="24">
        <v>125</v>
      </c>
      <c r="I105" s="27">
        <v>330</v>
      </c>
      <c r="J105" s="24">
        <v>41250</v>
      </c>
      <c r="K105" s="24">
        <v>412.5</v>
      </c>
      <c r="L105" s="1" t="s">
        <v>57</v>
      </c>
      <c r="M105" s="24">
        <v>40837.5</v>
      </c>
      <c r="N105" s="24">
        <f t="shared" si="1"/>
        <v>1237.5</v>
      </c>
      <c r="O105" t="str">
        <f>IF(DataTable[[#This Row],[Profit]]/DataTable[[#This Row],[COGS]]*100&gt;20,"Achived","Not Achived")</f>
        <v>Not Achived</v>
      </c>
      <c r="P105" s="25">
        <f>DataTable[[#This Row],[Profit]]/DataTable[[#This Row],[COGS]]</f>
        <v>3.125E-2</v>
      </c>
      <c r="Q105">
        <f>DataTable[[#This Row],[Manufacturing Price]]*DataTable[[#This Row],[Units Sold]]</f>
        <v>990</v>
      </c>
      <c r="R105" s="26">
        <f>DataTable[[#This Row],[COGS]]-DataTable[[#This Row],[MC_US]]</f>
        <v>38610</v>
      </c>
      <c r="S105" s="26">
        <f>IF(DataTable[[#This Row],[COGS-MC_US]]&gt;=0,DataTable[[#This Row],[Manufacturing Price]],DataTable[[#This Row],[COGS]]/DataTable[[#This Row],[Units Sold]])</f>
        <v>3</v>
      </c>
    </row>
    <row r="106" spans="1:19" ht="12.75" hidden="1" x14ac:dyDescent="0.2">
      <c r="A106" s="20">
        <v>41548</v>
      </c>
      <c r="B106" t="s">
        <v>391</v>
      </c>
      <c r="C106" t="s">
        <v>393</v>
      </c>
      <c r="D106" t="s">
        <v>359</v>
      </c>
      <c r="E106" t="str">
        <f>VLOOKUP(DataTable[[#This Row],[Country]],Market!B:C,2,FALSE)</f>
        <v>North America</v>
      </c>
      <c r="F106" s="24">
        <v>5</v>
      </c>
      <c r="G106" s="24">
        <v>79560</v>
      </c>
      <c r="H106" s="24">
        <v>125</v>
      </c>
      <c r="I106" s="27">
        <v>663</v>
      </c>
      <c r="J106" s="24">
        <v>82875</v>
      </c>
      <c r="K106" s="24">
        <v>828.75</v>
      </c>
      <c r="L106" s="1" t="s">
        <v>57</v>
      </c>
      <c r="M106" s="24">
        <v>82046.25</v>
      </c>
      <c r="N106" s="24">
        <f t="shared" si="1"/>
        <v>2486.25</v>
      </c>
      <c r="O106" t="str">
        <f>IF(DataTable[[#This Row],[Profit]]/DataTable[[#This Row],[COGS]]*100&gt;20,"Achived","Not Achived")</f>
        <v>Not Achived</v>
      </c>
      <c r="P106" s="25">
        <f>DataTable[[#This Row],[Profit]]/DataTable[[#This Row],[COGS]]</f>
        <v>3.125E-2</v>
      </c>
      <c r="Q106">
        <f>DataTable[[#This Row],[Manufacturing Price]]*DataTable[[#This Row],[Units Sold]]</f>
        <v>3315</v>
      </c>
      <c r="R106" s="26">
        <f>DataTable[[#This Row],[COGS]]-DataTable[[#This Row],[MC_US]]</f>
        <v>76245</v>
      </c>
      <c r="S106" s="26">
        <f>IF(DataTable[[#This Row],[COGS-MC_US]]&gt;=0,DataTable[[#This Row],[Manufacturing Price]],DataTable[[#This Row],[COGS]]/DataTable[[#This Row],[Units Sold]])</f>
        <v>5</v>
      </c>
    </row>
    <row r="107" spans="1:19" ht="12.75" hidden="1" x14ac:dyDescent="0.2">
      <c r="A107" s="20">
        <v>41791</v>
      </c>
      <c r="B107" t="s">
        <v>395</v>
      </c>
      <c r="C107" t="s">
        <v>393</v>
      </c>
      <c r="D107" t="s">
        <v>359</v>
      </c>
      <c r="E107" t="str">
        <f>VLOOKUP(DataTable[[#This Row],[Country]],Market!B:C,2,FALSE)</f>
        <v>North America</v>
      </c>
      <c r="F107" s="24">
        <v>10</v>
      </c>
      <c r="G107" s="24">
        <v>87240</v>
      </c>
      <c r="H107" s="24">
        <v>125</v>
      </c>
      <c r="I107" s="27">
        <v>727</v>
      </c>
      <c r="J107" s="24">
        <v>90875</v>
      </c>
      <c r="K107" s="24">
        <v>908.75</v>
      </c>
      <c r="L107" s="1" t="s">
        <v>57</v>
      </c>
      <c r="M107" s="24">
        <v>89966.25</v>
      </c>
      <c r="N107" s="24">
        <f t="shared" si="1"/>
        <v>2726.25</v>
      </c>
      <c r="O107" t="str">
        <f>IF(DataTable[[#This Row],[Profit]]/DataTable[[#This Row],[COGS]]*100&gt;20,"Achived","Not Achived")</f>
        <v>Not Achived</v>
      </c>
      <c r="P107" s="25">
        <f>DataTable[[#This Row],[Profit]]/DataTable[[#This Row],[COGS]]</f>
        <v>3.125E-2</v>
      </c>
      <c r="Q107">
        <f>DataTable[[#This Row],[Manufacturing Price]]*DataTable[[#This Row],[Units Sold]]</f>
        <v>7270</v>
      </c>
      <c r="R107" s="26">
        <f>DataTable[[#This Row],[COGS]]-DataTable[[#This Row],[MC_US]]</f>
        <v>79970</v>
      </c>
      <c r="S107" s="26">
        <f>IF(DataTable[[#This Row],[COGS-MC_US]]&gt;=0,DataTable[[#This Row],[Manufacturing Price]],DataTable[[#This Row],[COGS]]/DataTable[[#This Row],[Units Sold]])</f>
        <v>10</v>
      </c>
    </row>
    <row r="108" spans="1:19" ht="12.75" hidden="1" x14ac:dyDescent="0.2">
      <c r="A108" s="20">
        <v>41548</v>
      </c>
      <c r="B108" t="s">
        <v>396</v>
      </c>
      <c r="C108" t="s">
        <v>393</v>
      </c>
      <c r="D108" t="s">
        <v>359</v>
      </c>
      <c r="E108" t="str">
        <f>VLOOKUP(DataTable[[#This Row],[Country]],Market!B:C,2,FALSE)</f>
        <v>North America</v>
      </c>
      <c r="F108" s="24">
        <v>120</v>
      </c>
      <c r="G108" s="24">
        <v>79560</v>
      </c>
      <c r="H108" s="24">
        <v>125</v>
      </c>
      <c r="I108" s="27">
        <v>663</v>
      </c>
      <c r="J108" s="24">
        <v>82875</v>
      </c>
      <c r="K108" s="24">
        <v>828.75</v>
      </c>
      <c r="L108" s="1" t="s">
        <v>57</v>
      </c>
      <c r="M108" s="24">
        <v>82046.25</v>
      </c>
      <c r="N108" s="24">
        <f t="shared" si="1"/>
        <v>2486.25</v>
      </c>
      <c r="O108" t="str">
        <f>IF(DataTable[[#This Row],[Profit]]/DataTable[[#This Row],[COGS]]*100&gt;20,"Achived","Not Achived")</f>
        <v>Not Achived</v>
      </c>
      <c r="P108" s="25">
        <f>DataTable[[#This Row],[Profit]]/DataTable[[#This Row],[COGS]]</f>
        <v>3.125E-2</v>
      </c>
      <c r="Q108">
        <f>DataTable[[#This Row],[Manufacturing Price]]*DataTable[[#This Row],[Units Sold]]</f>
        <v>79560</v>
      </c>
      <c r="R108" s="26">
        <f>DataTable[[#This Row],[COGS]]-DataTable[[#This Row],[MC_US]]</f>
        <v>0</v>
      </c>
      <c r="S108" s="26">
        <f>IF(DataTable[[#This Row],[COGS-MC_US]]&gt;=0,DataTable[[#This Row],[Manufacturing Price]],DataTable[[#This Row],[COGS]]/DataTable[[#This Row],[Units Sold]])</f>
        <v>120</v>
      </c>
    </row>
    <row r="109" spans="1:19" ht="12.75" hidden="1" x14ac:dyDescent="0.2">
      <c r="A109" s="20">
        <v>41791</v>
      </c>
      <c r="B109" t="s">
        <v>397</v>
      </c>
      <c r="C109" t="s">
        <v>393</v>
      </c>
      <c r="D109" t="s">
        <v>359</v>
      </c>
      <c r="E109" t="str">
        <f>VLOOKUP(DataTable[[#This Row],[Country]],Market!B:C,2,FALSE)</f>
        <v>North America</v>
      </c>
      <c r="F109" s="24">
        <v>250</v>
      </c>
      <c r="G109" s="24">
        <v>87240</v>
      </c>
      <c r="H109" s="24">
        <v>125</v>
      </c>
      <c r="I109" s="27">
        <v>727</v>
      </c>
      <c r="J109" s="24">
        <v>90875</v>
      </c>
      <c r="K109" s="24">
        <v>908.75</v>
      </c>
      <c r="L109" s="1" t="s">
        <v>57</v>
      </c>
      <c r="M109" s="24">
        <v>89966.25</v>
      </c>
      <c r="N109" s="24">
        <f t="shared" si="1"/>
        <v>2726.25</v>
      </c>
      <c r="O109" t="str">
        <f>IF(DataTable[[#This Row],[Profit]]/DataTable[[#This Row],[COGS]]*100&gt;20,"Achived","Not Achived")</f>
        <v>Not Achived</v>
      </c>
      <c r="P109" s="25">
        <f>DataTable[[#This Row],[Profit]]/DataTable[[#This Row],[COGS]]</f>
        <v>3.125E-2</v>
      </c>
      <c r="Q109">
        <f>DataTable[[#This Row],[Manufacturing Price]]*DataTable[[#This Row],[Units Sold]]</f>
        <v>181750</v>
      </c>
      <c r="R109" s="26">
        <f>DataTable[[#This Row],[COGS]]-DataTable[[#This Row],[MC_US]]</f>
        <v>-94510</v>
      </c>
      <c r="S109" s="26">
        <f>IF(DataTable[[#This Row],[COGS-MC_US]]&gt;=0,DataTable[[#This Row],[Manufacturing Price]],DataTable[[#This Row],[COGS]]/DataTable[[#This Row],[Units Sold]])</f>
        <v>120</v>
      </c>
    </row>
    <row r="110" spans="1:19" ht="12.75" hidden="1" x14ac:dyDescent="0.2">
      <c r="A110" s="20">
        <v>41821</v>
      </c>
      <c r="B110" t="s">
        <v>391</v>
      </c>
      <c r="C110" t="s">
        <v>393</v>
      </c>
      <c r="D110" t="s">
        <v>359</v>
      </c>
      <c r="E110" t="str">
        <f>VLOOKUP(DataTable[[#This Row],[Country]],Market!B:C,2,FALSE)</f>
        <v>North America</v>
      </c>
      <c r="F110" s="24">
        <v>5</v>
      </c>
      <c r="G110" s="24">
        <v>435240</v>
      </c>
      <c r="H110" s="24">
        <v>125</v>
      </c>
      <c r="I110" s="27">
        <v>3627</v>
      </c>
      <c r="J110" s="24">
        <v>453375</v>
      </c>
      <c r="K110" s="24">
        <v>22668.75</v>
      </c>
      <c r="L110" s="1" t="s">
        <v>124</v>
      </c>
      <c r="M110" s="24">
        <v>430706.25</v>
      </c>
      <c r="N110" s="24">
        <f t="shared" si="1"/>
        <v>-4533.75</v>
      </c>
      <c r="O110" t="str">
        <f>IF(DataTable[[#This Row],[Profit]]/DataTable[[#This Row],[COGS]]*100&gt;20,"Achived","Not Achived")</f>
        <v>Not Achived</v>
      </c>
      <c r="P110" s="25">
        <f>DataTable[[#This Row],[Profit]]/DataTable[[#This Row],[COGS]]</f>
        <v>-1.0416666666666666E-2</v>
      </c>
      <c r="Q110">
        <f>DataTable[[#This Row],[Manufacturing Price]]*DataTable[[#This Row],[Units Sold]]</f>
        <v>18135</v>
      </c>
      <c r="R110" s="26">
        <f>DataTable[[#This Row],[COGS]]-DataTable[[#This Row],[MC_US]]</f>
        <v>417105</v>
      </c>
      <c r="S110" s="26">
        <f>IF(DataTable[[#This Row],[COGS-MC_US]]&gt;=0,DataTable[[#This Row],[Manufacturing Price]],DataTable[[#This Row],[COGS]]/DataTable[[#This Row],[Units Sold]])</f>
        <v>5</v>
      </c>
    </row>
    <row r="111" spans="1:19" ht="12.75" hidden="1" x14ac:dyDescent="0.2">
      <c r="A111" s="20">
        <v>41699</v>
      </c>
      <c r="B111" t="s">
        <v>395</v>
      </c>
      <c r="C111" t="s">
        <v>393</v>
      </c>
      <c r="D111" t="s">
        <v>359</v>
      </c>
      <c r="E111" t="str">
        <f>VLOOKUP(DataTable[[#This Row],[Country]],Market!B:C,2,FALSE)</f>
        <v>North America</v>
      </c>
      <c r="F111" s="24">
        <v>10</v>
      </c>
      <c r="G111" s="24">
        <v>359040</v>
      </c>
      <c r="H111" s="24">
        <v>125</v>
      </c>
      <c r="I111" s="27">
        <v>2992</v>
      </c>
      <c r="J111" s="24">
        <v>374000</v>
      </c>
      <c r="K111" s="24">
        <v>18700</v>
      </c>
      <c r="L111" s="1" t="s">
        <v>124</v>
      </c>
      <c r="M111" s="24">
        <v>355300</v>
      </c>
      <c r="N111" s="24">
        <f t="shared" si="1"/>
        <v>-3740</v>
      </c>
      <c r="O111" t="str">
        <f>IF(DataTable[[#This Row],[Profit]]/DataTable[[#This Row],[COGS]]*100&gt;20,"Achived","Not Achived")</f>
        <v>Not Achived</v>
      </c>
      <c r="P111" s="25">
        <f>DataTable[[#This Row],[Profit]]/DataTable[[#This Row],[COGS]]</f>
        <v>-1.0416666666666666E-2</v>
      </c>
      <c r="Q111">
        <f>DataTable[[#This Row],[Manufacturing Price]]*DataTable[[#This Row],[Units Sold]]</f>
        <v>29920</v>
      </c>
      <c r="R111" s="26">
        <f>DataTable[[#This Row],[COGS]]-DataTable[[#This Row],[MC_US]]</f>
        <v>329120</v>
      </c>
      <c r="S111" s="26">
        <f>IF(DataTable[[#This Row],[COGS-MC_US]]&gt;=0,DataTable[[#This Row],[Manufacturing Price]],DataTable[[#This Row],[COGS]]/DataTable[[#This Row],[Units Sold]])</f>
        <v>10</v>
      </c>
    </row>
    <row r="112" spans="1:19" ht="12.75" hidden="1" x14ac:dyDescent="0.2">
      <c r="A112" s="20">
        <v>41913</v>
      </c>
      <c r="B112" t="s">
        <v>395</v>
      </c>
      <c r="C112" t="s">
        <v>393</v>
      </c>
      <c r="D112" t="s">
        <v>359</v>
      </c>
      <c r="E112" t="str">
        <f>VLOOKUP(DataTable[[#This Row],[Country]],Market!B:C,2,FALSE)</f>
        <v>North America</v>
      </c>
      <c r="F112" s="24">
        <v>10</v>
      </c>
      <c r="G112" s="24">
        <v>103320</v>
      </c>
      <c r="H112" s="24">
        <v>125</v>
      </c>
      <c r="I112" s="27">
        <v>861</v>
      </c>
      <c r="J112" s="24">
        <v>107625</v>
      </c>
      <c r="K112" s="24">
        <v>5381.25</v>
      </c>
      <c r="L112" s="1" t="s">
        <v>124</v>
      </c>
      <c r="M112" s="24">
        <v>102243.75</v>
      </c>
      <c r="N112" s="24">
        <f t="shared" si="1"/>
        <v>-1076.25</v>
      </c>
      <c r="O112" t="str">
        <f>IF(DataTable[[#This Row],[Profit]]/DataTable[[#This Row],[COGS]]*100&gt;20,"Achived","Not Achived")</f>
        <v>Not Achived</v>
      </c>
      <c r="P112" s="25">
        <f>DataTable[[#This Row],[Profit]]/DataTable[[#This Row],[COGS]]</f>
        <v>-1.0416666666666666E-2</v>
      </c>
      <c r="Q112">
        <f>DataTable[[#This Row],[Manufacturing Price]]*DataTable[[#This Row],[Units Sold]]</f>
        <v>8610</v>
      </c>
      <c r="R112" s="26">
        <f>DataTable[[#This Row],[COGS]]-DataTable[[#This Row],[MC_US]]</f>
        <v>94710</v>
      </c>
      <c r="S112" s="26">
        <f>IF(DataTable[[#This Row],[COGS-MC_US]]&gt;=0,DataTable[[#This Row],[Manufacturing Price]],DataTable[[#This Row],[COGS]]/DataTable[[#This Row],[Units Sold]])</f>
        <v>10</v>
      </c>
    </row>
    <row r="113" spans="1:19" ht="12.75" hidden="1" x14ac:dyDescent="0.2">
      <c r="A113" s="20">
        <v>41913</v>
      </c>
      <c r="B113" t="s">
        <v>396</v>
      </c>
      <c r="C113" t="s">
        <v>393</v>
      </c>
      <c r="D113" t="s">
        <v>359</v>
      </c>
      <c r="E113" t="str">
        <f>VLOOKUP(DataTable[[#This Row],[Country]],Market!B:C,2,FALSE)</f>
        <v>North America</v>
      </c>
      <c r="F113" s="24">
        <v>120</v>
      </c>
      <c r="G113" s="24">
        <v>103320</v>
      </c>
      <c r="H113" s="24">
        <v>125</v>
      </c>
      <c r="I113" s="27">
        <v>861</v>
      </c>
      <c r="J113" s="24">
        <v>107625</v>
      </c>
      <c r="K113" s="24">
        <v>5381.25</v>
      </c>
      <c r="L113" s="1" t="s">
        <v>124</v>
      </c>
      <c r="M113" s="24">
        <v>102243.75</v>
      </c>
      <c r="N113" s="24">
        <f t="shared" si="1"/>
        <v>-1076.25</v>
      </c>
      <c r="O113" t="str">
        <f>IF(DataTable[[#This Row],[Profit]]/DataTable[[#This Row],[COGS]]*100&gt;20,"Achived","Not Achived")</f>
        <v>Not Achived</v>
      </c>
      <c r="P113" s="25">
        <f>DataTable[[#This Row],[Profit]]/DataTable[[#This Row],[COGS]]</f>
        <v>-1.0416666666666666E-2</v>
      </c>
      <c r="Q113">
        <f>DataTable[[#This Row],[Manufacturing Price]]*DataTable[[#This Row],[Units Sold]]</f>
        <v>103320</v>
      </c>
      <c r="R113" s="26">
        <f>DataTable[[#This Row],[COGS]]-DataTable[[#This Row],[MC_US]]</f>
        <v>0</v>
      </c>
      <c r="S113" s="26">
        <f>IF(DataTable[[#This Row],[COGS-MC_US]]&gt;=0,DataTable[[#This Row],[Manufacturing Price]],DataTable[[#This Row],[COGS]]/DataTable[[#This Row],[Units Sold]])</f>
        <v>120</v>
      </c>
    </row>
    <row r="114" spans="1:19" ht="12.75" hidden="1" x14ac:dyDescent="0.2">
      <c r="A114" s="20">
        <v>41671</v>
      </c>
      <c r="B114" t="s">
        <v>396</v>
      </c>
      <c r="C114" t="s">
        <v>393</v>
      </c>
      <c r="D114" t="s">
        <v>359</v>
      </c>
      <c r="E114" t="str">
        <f>VLOOKUP(DataTable[[#This Row],[Country]],Market!B:C,2,FALSE)</f>
        <v>North America</v>
      </c>
      <c r="F114" s="24">
        <v>120</v>
      </c>
      <c r="G114" s="24">
        <v>330600</v>
      </c>
      <c r="H114" s="24">
        <v>125</v>
      </c>
      <c r="I114" s="27">
        <v>2755</v>
      </c>
      <c r="J114" s="24">
        <v>344375</v>
      </c>
      <c r="K114" s="24">
        <v>20662.5</v>
      </c>
      <c r="L114" s="1" t="s">
        <v>124</v>
      </c>
      <c r="M114" s="24">
        <v>323712.5</v>
      </c>
      <c r="N114" s="24">
        <f t="shared" si="1"/>
        <v>-6887.5</v>
      </c>
      <c r="O114" t="str">
        <f>IF(DataTable[[#This Row],[Profit]]/DataTable[[#This Row],[COGS]]*100&gt;20,"Achived","Not Achived")</f>
        <v>Not Achived</v>
      </c>
      <c r="P114" s="25">
        <f>DataTable[[#This Row],[Profit]]/DataTable[[#This Row],[COGS]]</f>
        <v>-2.0833333333333332E-2</v>
      </c>
      <c r="Q114">
        <f>DataTable[[#This Row],[Manufacturing Price]]*DataTable[[#This Row],[Units Sold]]</f>
        <v>330600</v>
      </c>
      <c r="R114" s="26">
        <f>DataTable[[#This Row],[COGS]]-DataTable[[#This Row],[MC_US]]</f>
        <v>0</v>
      </c>
      <c r="S114" s="26">
        <f>IF(DataTable[[#This Row],[COGS-MC_US]]&gt;=0,DataTable[[#This Row],[Manufacturing Price]],DataTable[[#This Row],[COGS]]/DataTable[[#This Row],[Units Sold]])</f>
        <v>120</v>
      </c>
    </row>
    <row r="115" spans="1:19" ht="12.75" hidden="1" x14ac:dyDescent="0.2">
      <c r="A115" s="20">
        <v>41974</v>
      </c>
      <c r="B115" t="s">
        <v>391</v>
      </c>
      <c r="C115" t="s">
        <v>393</v>
      </c>
      <c r="D115" t="s">
        <v>359</v>
      </c>
      <c r="E115" t="str">
        <f>VLOOKUP(DataTable[[#This Row],[Country]],Market!B:C,2,FALSE)</f>
        <v>North America</v>
      </c>
      <c r="F115" s="24">
        <v>5</v>
      </c>
      <c r="G115" s="24">
        <v>335640</v>
      </c>
      <c r="H115" s="24">
        <v>125</v>
      </c>
      <c r="I115" s="27">
        <v>2797</v>
      </c>
      <c r="J115" s="24">
        <v>349625</v>
      </c>
      <c r="K115" s="24">
        <v>31466.25</v>
      </c>
      <c r="L115" s="1" t="s">
        <v>124</v>
      </c>
      <c r="M115" s="24">
        <v>318158.75</v>
      </c>
      <c r="N115" s="24">
        <f t="shared" si="1"/>
        <v>-17481.25</v>
      </c>
      <c r="O115" t="str">
        <f>IF(DataTable[[#This Row],[Profit]]/DataTable[[#This Row],[COGS]]*100&gt;20,"Achived","Not Achived")</f>
        <v>Not Achived</v>
      </c>
      <c r="P115" s="25">
        <f>DataTable[[#This Row],[Profit]]/DataTable[[#This Row],[COGS]]</f>
        <v>-5.2083333333333336E-2</v>
      </c>
      <c r="Q115">
        <f>DataTable[[#This Row],[Manufacturing Price]]*DataTable[[#This Row],[Units Sold]]</f>
        <v>13985</v>
      </c>
      <c r="R115" s="26">
        <f>DataTable[[#This Row],[COGS]]-DataTable[[#This Row],[MC_US]]</f>
        <v>321655</v>
      </c>
      <c r="S115" s="26">
        <f>IF(DataTable[[#This Row],[COGS-MC_US]]&gt;=0,DataTable[[#This Row],[Manufacturing Price]],DataTable[[#This Row],[COGS]]/DataTable[[#This Row],[Units Sold]])</f>
        <v>5</v>
      </c>
    </row>
    <row r="116" spans="1:19" ht="12.75" hidden="1" x14ac:dyDescent="0.2">
      <c r="A116" s="20">
        <v>41974</v>
      </c>
      <c r="B116" t="s">
        <v>395</v>
      </c>
      <c r="C116" t="s">
        <v>393</v>
      </c>
      <c r="D116" t="s">
        <v>359</v>
      </c>
      <c r="E116" t="str">
        <f>VLOOKUP(DataTable[[#This Row],[Country]],Market!B:C,2,FALSE)</f>
        <v>North America</v>
      </c>
      <c r="F116" s="24">
        <v>10</v>
      </c>
      <c r="G116" s="24">
        <v>335640</v>
      </c>
      <c r="H116" s="24">
        <v>125</v>
      </c>
      <c r="I116" s="27">
        <v>2797</v>
      </c>
      <c r="J116" s="24">
        <v>349625</v>
      </c>
      <c r="K116" s="24">
        <v>31466.25</v>
      </c>
      <c r="L116" s="1" t="s">
        <v>124</v>
      </c>
      <c r="M116" s="24">
        <v>318158.75</v>
      </c>
      <c r="N116" s="24">
        <f t="shared" si="1"/>
        <v>-17481.25</v>
      </c>
      <c r="O116" t="str">
        <f>IF(DataTable[[#This Row],[Profit]]/DataTable[[#This Row],[COGS]]*100&gt;20,"Achived","Not Achived")</f>
        <v>Not Achived</v>
      </c>
      <c r="P116" s="25">
        <f>DataTable[[#This Row],[Profit]]/DataTable[[#This Row],[COGS]]</f>
        <v>-5.2083333333333336E-2</v>
      </c>
      <c r="Q116">
        <f>DataTable[[#This Row],[Manufacturing Price]]*DataTable[[#This Row],[Units Sold]]</f>
        <v>27970</v>
      </c>
      <c r="R116" s="26">
        <f>DataTable[[#This Row],[COGS]]-DataTable[[#This Row],[MC_US]]</f>
        <v>307670</v>
      </c>
      <c r="S116" s="26">
        <f>IF(DataTable[[#This Row],[COGS-MC_US]]&gt;=0,DataTable[[#This Row],[Manufacturing Price]],DataTable[[#This Row],[COGS]]/DataTable[[#This Row],[Units Sold]])</f>
        <v>10</v>
      </c>
    </row>
    <row r="117" spans="1:19" ht="12.75" x14ac:dyDescent="0.2">
      <c r="A117" s="20">
        <v>41730</v>
      </c>
      <c r="B117" t="s">
        <v>389</v>
      </c>
      <c r="C117" t="s">
        <v>393</v>
      </c>
      <c r="D117" t="s">
        <v>359</v>
      </c>
      <c r="E117" t="str">
        <f>VLOOKUP(DataTable[[#This Row],[Country]],Market!B:C,2,FALSE)</f>
        <v>North America</v>
      </c>
      <c r="F117" s="24">
        <v>3</v>
      </c>
      <c r="G117" s="24">
        <v>413460</v>
      </c>
      <c r="H117" s="24">
        <v>125</v>
      </c>
      <c r="I117" s="27">
        <v>3445.5</v>
      </c>
      <c r="J117" s="24">
        <v>430687.5</v>
      </c>
      <c r="K117" s="24">
        <v>43068.75</v>
      </c>
      <c r="L117" s="1" t="s">
        <v>158</v>
      </c>
      <c r="M117" s="24">
        <v>387618.75</v>
      </c>
      <c r="N117" s="24">
        <f t="shared" si="1"/>
        <v>-25841.25</v>
      </c>
      <c r="O117" t="str">
        <f>IF(DataTable[[#This Row],[Profit]]/DataTable[[#This Row],[COGS]]*100&gt;20,"Achived","Not Achived")</f>
        <v>Not Achived</v>
      </c>
      <c r="P117" s="25">
        <f>DataTable[[#This Row],[Profit]]/DataTable[[#This Row],[COGS]]</f>
        <v>-6.25E-2</v>
      </c>
      <c r="Q117">
        <f>DataTable[[#This Row],[Manufacturing Price]]*DataTable[[#This Row],[Units Sold]]</f>
        <v>10336.5</v>
      </c>
      <c r="R117" s="26">
        <f>DataTable[[#This Row],[COGS]]-DataTable[[#This Row],[MC_US]]</f>
        <v>403123.5</v>
      </c>
      <c r="S117" s="26">
        <f>IF(DataTable[[#This Row],[COGS-MC_US]]&gt;=0,DataTable[[#This Row],[Manufacturing Price]],DataTable[[#This Row],[COGS]]/DataTable[[#This Row],[Units Sold]])</f>
        <v>3</v>
      </c>
    </row>
    <row r="118" spans="1:19" ht="12.75" x14ac:dyDescent="0.2">
      <c r="A118" s="20">
        <v>41579</v>
      </c>
      <c r="B118" t="s">
        <v>391</v>
      </c>
      <c r="C118" t="s">
        <v>393</v>
      </c>
      <c r="D118" t="s">
        <v>359</v>
      </c>
      <c r="E118" t="str">
        <f>VLOOKUP(DataTable[[#This Row],[Country]],Market!B:C,2,FALSE)</f>
        <v>North America</v>
      </c>
      <c r="F118" s="24">
        <v>5</v>
      </c>
      <c r="G118" s="24">
        <v>216480</v>
      </c>
      <c r="H118" s="24">
        <v>125</v>
      </c>
      <c r="I118" s="27">
        <v>1804</v>
      </c>
      <c r="J118" s="24">
        <v>225500</v>
      </c>
      <c r="K118" s="24">
        <v>22550</v>
      </c>
      <c r="L118" s="1" t="s">
        <v>158</v>
      </c>
      <c r="M118" s="24">
        <v>202950</v>
      </c>
      <c r="N118" s="24">
        <f t="shared" si="1"/>
        <v>-13530</v>
      </c>
      <c r="O118" t="str">
        <f>IF(DataTable[[#This Row],[Profit]]/DataTable[[#This Row],[COGS]]*100&gt;20,"Achived","Not Achived")</f>
        <v>Not Achived</v>
      </c>
      <c r="P118" s="25">
        <f>DataTable[[#This Row],[Profit]]/DataTable[[#This Row],[COGS]]</f>
        <v>-6.25E-2</v>
      </c>
      <c r="Q118">
        <f>DataTable[[#This Row],[Manufacturing Price]]*DataTable[[#This Row],[Units Sold]]</f>
        <v>9020</v>
      </c>
      <c r="R118" s="26">
        <f>DataTable[[#This Row],[COGS]]-DataTable[[#This Row],[MC_US]]</f>
        <v>207460</v>
      </c>
      <c r="S118" s="26">
        <f>IF(DataTable[[#This Row],[COGS-MC_US]]&gt;=0,DataTable[[#This Row],[Manufacturing Price]],DataTable[[#This Row],[COGS]]/DataTable[[#This Row],[Units Sold]])</f>
        <v>5</v>
      </c>
    </row>
    <row r="119" spans="1:19" ht="12.75" x14ac:dyDescent="0.2">
      <c r="A119" s="20">
        <v>41883</v>
      </c>
      <c r="B119" t="s">
        <v>396</v>
      </c>
      <c r="C119" t="s">
        <v>393</v>
      </c>
      <c r="D119" t="s">
        <v>359</v>
      </c>
      <c r="E119" t="str">
        <f>VLOOKUP(DataTable[[#This Row],[Country]],Market!B:C,2,FALSE)</f>
        <v>North America</v>
      </c>
      <c r="F119" s="24">
        <v>120</v>
      </c>
      <c r="G119" s="24">
        <v>191520</v>
      </c>
      <c r="H119" s="24">
        <v>125</v>
      </c>
      <c r="I119" s="27">
        <v>1596</v>
      </c>
      <c r="J119" s="24">
        <v>199500</v>
      </c>
      <c r="K119" s="24">
        <v>19950</v>
      </c>
      <c r="L119" s="1" t="s">
        <v>158</v>
      </c>
      <c r="M119" s="24">
        <v>179550</v>
      </c>
      <c r="N119" s="24">
        <f t="shared" si="1"/>
        <v>-11970</v>
      </c>
      <c r="O119" t="str">
        <f>IF(DataTable[[#This Row],[Profit]]/DataTable[[#This Row],[COGS]]*100&gt;20,"Achived","Not Achived")</f>
        <v>Not Achived</v>
      </c>
      <c r="P119" s="25">
        <f>DataTable[[#This Row],[Profit]]/DataTable[[#This Row],[COGS]]</f>
        <v>-6.25E-2</v>
      </c>
      <c r="Q119">
        <f>DataTable[[#This Row],[Manufacturing Price]]*DataTable[[#This Row],[Units Sold]]</f>
        <v>191520</v>
      </c>
      <c r="R119" s="26">
        <f>DataTable[[#This Row],[COGS]]-DataTable[[#This Row],[MC_US]]</f>
        <v>0</v>
      </c>
      <c r="S119" s="26">
        <f>IF(DataTable[[#This Row],[COGS-MC_US]]&gt;=0,DataTable[[#This Row],[Manufacturing Price]],DataTable[[#This Row],[COGS]]/DataTable[[#This Row],[Units Sold]])</f>
        <v>120</v>
      </c>
    </row>
    <row r="120" spans="1:19" ht="12.75" x14ac:dyDescent="0.2">
      <c r="A120" s="20">
        <v>41640</v>
      </c>
      <c r="B120" t="s">
        <v>398</v>
      </c>
      <c r="C120" t="s">
        <v>393</v>
      </c>
      <c r="D120" t="s">
        <v>359</v>
      </c>
      <c r="E120" t="str">
        <f>VLOOKUP(DataTable[[#This Row],[Country]],Market!B:C,2,FALSE)</f>
        <v>North America</v>
      </c>
      <c r="F120" s="24">
        <v>260</v>
      </c>
      <c r="G120" s="24">
        <v>69480</v>
      </c>
      <c r="H120" s="24">
        <v>125</v>
      </c>
      <c r="I120" s="27">
        <v>579</v>
      </c>
      <c r="J120" s="24">
        <v>72375</v>
      </c>
      <c r="K120" s="24">
        <v>7237.5</v>
      </c>
      <c r="L120" s="1" t="s">
        <v>158</v>
      </c>
      <c r="M120" s="24">
        <v>65137.5</v>
      </c>
      <c r="N120" s="24">
        <f t="shared" si="1"/>
        <v>-4342.5</v>
      </c>
      <c r="O120" t="str">
        <f>IF(DataTable[[#This Row],[Profit]]/DataTable[[#This Row],[COGS]]*100&gt;20,"Achived","Not Achived")</f>
        <v>Not Achived</v>
      </c>
      <c r="P120" s="25">
        <f>DataTable[[#This Row],[Profit]]/DataTable[[#This Row],[COGS]]</f>
        <v>-6.25E-2</v>
      </c>
      <c r="Q120">
        <f>DataTable[[#This Row],[Manufacturing Price]]*DataTable[[#This Row],[Units Sold]]</f>
        <v>150540</v>
      </c>
      <c r="R120" s="26">
        <f>DataTable[[#This Row],[COGS]]-DataTable[[#This Row],[MC_US]]</f>
        <v>-81060</v>
      </c>
      <c r="S120" s="26">
        <f>IF(DataTable[[#This Row],[COGS-MC_US]]&gt;=0,DataTable[[#This Row],[Manufacturing Price]],DataTable[[#This Row],[COGS]]/DataTable[[#This Row],[Units Sold]])</f>
        <v>120</v>
      </c>
    </row>
    <row r="121" spans="1:19" ht="12.75" x14ac:dyDescent="0.2">
      <c r="A121" s="20">
        <v>41944</v>
      </c>
      <c r="B121" t="s">
        <v>397</v>
      </c>
      <c r="C121" t="s">
        <v>393</v>
      </c>
      <c r="D121" t="s">
        <v>359</v>
      </c>
      <c r="E121" t="str">
        <f>VLOOKUP(DataTable[[#This Row],[Country]],Market!B:C,2,FALSE)</f>
        <v>North America</v>
      </c>
      <c r="F121" s="24">
        <v>250</v>
      </c>
      <c r="G121" s="24">
        <v>286440</v>
      </c>
      <c r="H121" s="24">
        <v>125</v>
      </c>
      <c r="I121" s="27">
        <v>2387</v>
      </c>
      <c r="J121" s="24">
        <v>298375</v>
      </c>
      <c r="K121" s="24">
        <v>35805</v>
      </c>
      <c r="L121" s="1" t="s">
        <v>158</v>
      </c>
      <c r="M121" s="24">
        <v>262570</v>
      </c>
      <c r="N121" s="24">
        <f t="shared" si="1"/>
        <v>-23870</v>
      </c>
      <c r="O121" t="str">
        <f>IF(DataTable[[#This Row],[Profit]]/DataTable[[#This Row],[COGS]]*100&gt;20,"Achived","Not Achived")</f>
        <v>Not Achived</v>
      </c>
      <c r="P121" s="25">
        <f>DataTable[[#This Row],[Profit]]/DataTable[[#This Row],[COGS]]</f>
        <v>-8.3333333333333329E-2</v>
      </c>
      <c r="Q121">
        <f>DataTable[[#This Row],[Manufacturing Price]]*DataTable[[#This Row],[Units Sold]]</f>
        <v>596750</v>
      </c>
      <c r="R121" s="26">
        <f>DataTable[[#This Row],[COGS]]-DataTable[[#This Row],[MC_US]]</f>
        <v>-310310</v>
      </c>
      <c r="S121" s="26">
        <f>IF(DataTable[[#This Row],[COGS-MC_US]]&gt;=0,DataTable[[#This Row],[Manufacturing Price]],DataTable[[#This Row],[COGS]]/DataTable[[#This Row],[Units Sold]])</f>
        <v>120</v>
      </c>
    </row>
    <row r="122" spans="1:19" ht="12.75" x14ac:dyDescent="0.2">
      <c r="A122" s="20">
        <v>41760</v>
      </c>
      <c r="B122" t="s">
        <v>398</v>
      </c>
      <c r="C122" t="s">
        <v>393</v>
      </c>
      <c r="D122" t="s">
        <v>359</v>
      </c>
      <c r="E122" t="str">
        <f>VLOOKUP(DataTable[[#This Row],[Country]],Market!B:C,2,FALSE)</f>
        <v>North America</v>
      </c>
      <c r="F122" s="24">
        <v>260</v>
      </c>
      <c r="G122" s="24">
        <v>341280</v>
      </c>
      <c r="H122" s="24">
        <v>125</v>
      </c>
      <c r="I122" s="27">
        <v>2844</v>
      </c>
      <c r="J122" s="24">
        <v>355500</v>
      </c>
      <c r="K122" s="24">
        <v>49770</v>
      </c>
      <c r="L122" s="1" t="s">
        <v>158</v>
      </c>
      <c r="M122" s="24">
        <v>305730</v>
      </c>
      <c r="N122" s="24">
        <f t="shared" si="1"/>
        <v>-35550</v>
      </c>
      <c r="O122" t="str">
        <f>IF(DataTable[[#This Row],[Profit]]/DataTable[[#This Row],[COGS]]*100&gt;20,"Achived","Not Achived")</f>
        <v>Not Achived</v>
      </c>
      <c r="P122" s="25">
        <f>DataTable[[#This Row],[Profit]]/DataTable[[#This Row],[COGS]]</f>
        <v>-0.10416666666666667</v>
      </c>
      <c r="Q122">
        <f>DataTable[[#This Row],[Manufacturing Price]]*DataTable[[#This Row],[Units Sold]]</f>
        <v>739440</v>
      </c>
      <c r="R122" s="26">
        <f>DataTable[[#This Row],[COGS]]-DataTable[[#This Row],[MC_US]]</f>
        <v>-398160</v>
      </c>
      <c r="S122" s="26">
        <f>IF(DataTable[[#This Row],[COGS-MC_US]]&gt;=0,DataTable[[#This Row],[Manufacturing Price]],DataTable[[#This Row],[COGS]]/DataTable[[#This Row],[Units Sold]])</f>
        <v>120</v>
      </c>
    </row>
    <row r="123" spans="1:19" ht="12.75" x14ac:dyDescent="0.2">
      <c r="A123" s="20">
        <v>41609</v>
      </c>
      <c r="B123" t="s">
        <v>396</v>
      </c>
      <c r="C123" t="s">
        <v>393</v>
      </c>
      <c r="D123" t="s">
        <v>359</v>
      </c>
      <c r="E123" t="str">
        <f>VLOOKUP(DataTable[[#This Row],[Country]],Market!B:C,2,FALSE)</f>
        <v>North America</v>
      </c>
      <c r="F123" s="24">
        <v>120</v>
      </c>
      <c r="G123" s="24">
        <v>292560</v>
      </c>
      <c r="H123" s="24">
        <v>125</v>
      </c>
      <c r="I123" s="27">
        <v>2438</v>
      </c>
      <c r="J123" s="24">
        <v>304750</v>
      </c>
      <c r="K123" s="24">
        <v>45712.5</v>
      </c>
      <c r="L123" s="1" t="s">
        <v>158</v>
      </c>
      <c r="M123" s="24">
        <v>259037.5</v>
      </c>
      <c r="N123" s="24">
        <f t="shared" si="1"/>
        <v>-33522.5</v>
      </c>
      <c r="O123" t="str">
        <f>IF(DataTable[[#This Row],[Profit]]/DataTable[[#This Row],[COGS]]*100&gt;20,"Achived","Not Achived")</f>
        <v>Not Achived</v>
      </c>
      <c r="P123" s="25">
        <f>DataTable[[#This Row],[Profit]]/DataTable[[#This Row],[COGS]]</f>
        <v>-0.11458333333333333</v>
      </c>
      <c r="Q123">
        <f>DataTable[[#This Row],[Manufacturing Price]]*DataTable[[#This Row],[Units Sold]]</f>
        <v>292560</v>
      </c>
      <c r="R123" s="26">
        <f>DataTable[[#This Row],[COGS]]-DataTable[[#This Row],[MC_US]]</f>
        <v>0</v>
      </c>
      <c r="S123" s="26">
        <f>IF(DataTable[[#This Row],[COGS-MC_US]]&gt;=0,DataTable[[#This Row],[Manufacturing Price]],DataTable[[#This Row],[COGS]]/DataTable[[#This Row],[Units Sold]])</f>
        <v>120</v>
      </c>
    </row>
    <row r="124" spans="1:19" ht="12.75" hidden="1" x14ac:dyDescent="0.2">
      <c r="A124" s="20">
        <v>41821</v>
      </c>
      <c r="B124" t="s">
        <v>395</v>
      </c>
      <c r="C124" t="s">
        <v>393</v>
      </c>
      <c r="D124" t="s">
        <v>352</v>
      </c>
      <c r="E124" t="str">
        <f>VLOOKUP(DataTable[[#This Row],[Country]],Market!B:C,2,FALSE)</f>
        <v>North America</v>
      </c>
      <c r="F124" s="24">
        <v>10</v>
      </c>
      <c r="G124" s="24">
        <v>218760</v>
      </c>
      <c r="H124" s="24">
        <v>125</v>
      </c>
      <c r="I124" s="27">
        <v>1823</v>
      </c>
      <c r="J124" s="24">
        <v>227875</v>
      </c>
      <c r="K124" s="24">
        <v>2278.75</v>
      </c>
      <c r="L124" s="1" t="s">
        <v>57</v>
      </c>
      <c r="M124" s="24">
        <v>225596.25</v>
      </c>
      <c r="N124" s="24">
        <f t="shared" si="1"/>
        <v>6836.25</v>
      </c>
      <c r="O124" t="str">
        <f>IF(DataTable[[#This Row],[Profit]]/DataTable[[#This Row],[COGS]]*100&gt;20,"Achived","Not Achived")</f>
        <v>Not Achived</v>
      </c>
      <c r="P124" s="25">
        <f>DataTable[[#This Row],[Profit]]/DataTable[[#This Row],[COGS]]</f>
        <v>3.125E-2</v>
      </c>
      <c r="Q124">
        <f>DataTable[[#This Row],[Manufacturing Price]]*DataTable[[#This Row],[Units Sold]]</f>
        <v>18230</v>
      </c>
      <c r="R124" s="26">
        <f>DataTable[[#This Row],[COGS]]-DataTable[[#This Row],[MC_US]]</f>
        <v>200530</v>
      </c>
      <c r="S124" s="26">
        <f>IF(DataTable[[#This Row],[COGS-MC_US]]&gt;=0,DataTable[[#This Row],[Manufacturing Price]],DataTable[[#This Row],[COGS]]/DataTable[[#This Row],[Units Sold]])</f>
        <v>10</v>
      </c>
    </row>
    <row r="125" spans="1:19" ht="12.75" hidden="1" x14ac:dyDescent="0.2">
      <c r="A125" s="20">
        <v>41579</v>
      </c>
      <c r="B125" t="s">
        <v>391</v>
      </c>
      <c r="C125" t="s">
        <v>393</v>
      </c>
      <c r="D125" t="s">
        <v>352</v>
      </c>
      <c r="E125" t="str">
        <f>VLOOKUP(DataTable[[#This Row],[Country]],Market!B:C,2,FALSE)</f>
        <v>North America</v>
      </c>
      <c r="F125" s="24">
        <v>5</v>
      </c>
      <c r="G125" s="24">
        <v>199200</v>
      </c>
      <c r="H125" s="24">
        <v>125</v>
      </c>
      <c r="I125" s="27">
        <v>1660</v>
      </c>
      <c r="J125" s="24">
        <v>207500</v>
      </c>
      <c r="K125" s="24">
        <v>4150</v>
      </c>
      <c r="L125" s="1" t="s">
        <v>57</v>
      </c>
      <c r="M125" s="24">
        <v>203350</v>
      </c>
      <c r="N125" s="24">
        <f t="shared" si="1"/>
        <v>4150</v>
      </c>
      <c r="O125" t="str">
        <f>IF(DataTable[[#This Row],[Profit]]/DataTable[[#This Row],[COGS]]*100&gt;20,"Achived","Not Achived")</f>
        <v>Not Achived</v>
      </c>
      <c r="P125" s="25">
        <f>DataTable[[#This Row],[Profit]]/DataTable[[#This Row],[COGS]]</f>
        <v>2.0833333333333332E-2</v>
      </c>
      <c r="Q125">
        <f>DataTable[[#This Row],[Manufacturing Price]]*DataTable[[#This Row],[Units Sold]]</f>
        <v>8300</v>
      </c>
      <c r="R125" s="26">
        <f>DataTable[[#This Row],[COGS]]-DataTable[[#This Row],[MC_US]]</f>
        <v>190900</v>
      </c>
      <c r="S125" s="26">
        <f>IF(DataTable[[#This Row],[COGS-MC_US]]&gt;=0,DataTable[[#This Row],[Manufacturing Price]],DataTable[[#This Row],[COGS]]/DataTable[[#This Row],[Units Sold]])</f>
        <v>5</v>
      </c>
    </row>
    <row r="126" spans="1:19" ht="12.75" hidden="1" x14ac:dyDescent="0.2">
      <c r="A126" s="20">
        <v>41791</v>
      </c>
      <c r="B126" t="s">
        <v>395</v>
      </c>
      <c r="C126" t="s">
        <v>393</v>
      </c>
      <c r="D126" t="s">
        <v>352</v>
      </c>
      <c r="E126" t="str">
        <f>VLOOKUP(DataTable[[#This Row],[Country]],Market!B:C,2,FALSE)</f>
        <v>North America</v>
      </c>
      <c r="F126" s="24">
        <v>10</v>
      </c>
      <c r="G126" s="24">
        <v>79440</v>
      </c>
      <c r="H126" s="24">
        <v>125</v>
      </c>
      <c r="I126" s="27">
        <v>662</v>
      </c>
      <c r="J126" s="24">
        <v>82750</v>
      </c>
      <c r="K126" s="24">
        <v>1655</v>
      </c>
      <c r="L126" s="1" t="s">
        <v>57</v>
      </c>
      <c r="M126" s="24">
        <v>81095</v>
      </c>
      <c r="N126" s="24">
        <f t="shared" si="1"/>
        <v>1655</v>
      </c>
      <c r="O126" t="str">
        <f>IF(DataTable[[#This Row],[Profit]]/DataTable[[#This Row],[COGS]]*100&gt;20,"Achived","Not Achived")</f>
        <v>Not Achived</v>
      </c>
      <c r="P126" s="25">
        <f>DataTable[[#This Row],[Profit]]/DataTable[[#This Row],[COGS]]</f>
        <v>2.0833333333333332E-2</v>
      </c>
      <c r="Q126">
        <f>DataTable[[#This Row],[Manufacturing Price]]*DataTable[[#This Row],[Units Sold]]</f>
        <v>6620</v>
      </c>
      <c r="R126" s="26">
        <f>DataTable[[#This Row],[COGS]]-DataTable[[#This Row],[MC_US]]</f>
        <v>72820</v>
      </c>
      <c r="S126" s="26">
        <f>IF(DataTable[[#This Row],[COGS-MC_US]]&gt;=0,DataTable[[#This Row],[Manufacturing Price]],DataTable[[#This Row],[COGS]]/DataTable[[#This Row],[Units Sold]])</f>
        <v>10</v>
      </c>
    </row>
    <row r="127" spans="1:19" ht="12.75" hidden="1" x14ac:dyDescent="0.2">
      <c r="A127" s="20">
        <v>41548</v>
      </c>
      <c r="B127" t="s">
        <v>395</v>
      </c>
      <c r="C127" t="s">
        <v>393</v>
      </c>
      <c r="D127" t="s">
        <v>352</v>
      </c>
      <c r="E127" t="str">
        <f>VLOOKUP(DataTable[[#This Row],[Country]],Market!B:C,2,FALSE)</f>
        <v>North America</v>
      </c>
      <c r="F127" s="24">
        <v>10</v>
      </c>
      <c r="G127" s="24">
        <v>257400</v>
      </c>
      <c r="H127" s="24">
        <v>125</v>
      </c>
      <c r="I127" s="27">
        <v>2145</v>
      </c>
      <c r="J127" s="24">
        <v>268125</v>
      </c>
      <c r="K127" s="24">
        <v>5362.5</v>
      </c>
      <c r="L127" s="1" t="s">
        <v>57</v>
      </c>
      <c r="M127" s="24">
        <v>262762.5</v>
      </c>
      <c r="N127" s="24">
        <f t="shared" si="1"/>
        <v>5362.5</v>
      </c>
      <c r="O127" t="str">
        <f>IF(DataTable[[#This Row],[Profit]]/DataTable[[#This Row],[COGS]]*100&gt;20,"Achived","Not Achived")</f>
        <v>Not Achived</v>
      </c>
      <c r="P127" s="25">
        <f>DataTable[[#This Row],[Profit]]/DataTable[[#This Row],[COGS]]</f>
        <v>2.0833333333333332E-2</v>
      </c>
      <c r="Q127">
        <f>DataTable[[#This Row],[Manufacturing Price]]*DataTable[[#This Row],[Units Sold]]</f>
        <v>21450</v>
      </c>
      <c r="R127" s="26">
        <f>DataTable[[#This Row],[COGS]]-DataTable[[#This Row],[MC_US]]</f>
        <v>235950</v>
      </c>
      <c r="S127" s="26">
        <f>IF(DataTable[[#This Row],[COGS-MC_US]]&gt;=0,DataTable[[#This Row],[Manufacturing Price]],DataTable[[#This Row],[COGS]]/DataTable[[#This Row],[Units Sold]])</f>
        <v>10</v>
      </c>
    </row>
    <row r="128" spans="1:19" ht="12.75" hidden="1" x14ac:dyDescent="0.2">
      <c r="A128" s="20">
        <v>41548</v>
      </c>
      <c r="B128" t="s">
        <v>396</v>
      </c>
      <c r="C128" t="s">
        <v>393</v>
      </c>
      <c r="D128" t="s">
        <v>352</v>
      </c>
      <c r="E128" t="str">
        <f>VLOOKUP(DataTable[[#This Row],[Country]],Market!B:C,2,FALSE)</f>
        <v>North America</v>
      </c>
      <c r="F128" s="24">
        <v>120</v>
      </c>
      <c r="G128" s="24">
        <v>257400</v>
      </c>
      <c r="H128" s="24">
        <v>125</v>
      </c>
      <c r="I128" s="27">
        <v>2145</v>
      </c>
      <c r="J128" s="24">
        <v>268125</v>
      </c>
      <c r="K128" s="24">
        <v>5362.5</v>
      </c>
      <c r="L128" s="1" t="s">
        <v>57</v>
      </c>
      <c r="M128" s="24">
        <v>262762.5</v>
      </c>
      <c r="N128" s="24">
        <f t="shared" si="1"/>
        <v>5362.5</v>
      </c>
      <c r="O128" t="str">
        <f>IF(DataTable[[#This Row],[Profit]]/DataTable[[#This Row],[COGS]]*100&gt;20,"Achived","Not Achived")</f>
        <v>Not Achived</v>
      </c>
      <c r="P128" s="25">
        <f>DataTable[[#This Row],[Profit]]/DataTable[[#This Row],[COGS]]</f>
        <v>2.0833333333333332E-2</v>
      </c>
      <c r="Q128">
        <f>DataTable[[#This Row],[Manufacturing Price]]*DataTable[[#This Row],[Units Sold]]</f>
        <v>257400</v>
      </c>
      <c r="R128" s="26">
        <f>DataTable[[#This Row],[COGS]]-DataTable[[#This Row],[MC_US]]</f>
        <v>0</v>
      </c>
      <c r="S128" s="26">
        <f>IF(DataTable[[#This Row],[COGS-MC_US]]&gt;=0,DataTable[[#This Row],[Manufacturing Price]],DataTable[[#This Row],[COGS]]/DataTable[[#This Row],[Units Sold]])</f>
        <v>120</v>
      </c>
    </row>
    <row r="129" spans="1:19" ht="12.75" hidden="1" x14ac:dyDescent="0.2">
      <c r="A129" s="20">
        <v>41791</v>
      </c>
      <c r="B129" t="s">
        <v>397</v>
      </c>
      <c r="C129" t="s">
        <v>393</v>
      </c>
      <c r="D129" t="s">
        <v>352</v>
      </c>
      <c r="E129" t="str">
        <f>VLOOKUP(DataTable[[#This Row],[Country]],Market!B:C,2,FALSE)</f>
        <v>North America</v>
      </c>
      <c r="F129" s="24">
        <v>250</v>
      </c>
      <c r="G129" s="24">
        <v>79440</v>
      </c>
      <c r="H129" s="24">
        <v>125</v>
      </c>
      <c r="I129" s="27">
        <v>662</v>
      </c>
      <c r="J129" s="24">
        <v>82750</v>
      </c>
      <c r="K129" s="24">
        <v>1655</v>
      </c>
      <c r="L129" s="1" t="s">
        <v>57</v>
      </c>
      <c r="M129" s="24">
        <v>81095</v>
      </c>
      <c r="N129" s="24">
        <f t="shared" si="1"/>
        <v>1655</v>
      </c>
      <c r="O129" t="str">
        <f>IF(DataTable[[#This Row],[Profit]]/DataTable[[#This Row],[COGS]]*100&gt;20,"Achived","Not Achived")</f>
        <v>Not Achived</v>
      </c>
      <c r="P129" s="25">
        <f>DataTable[[#This Row],[Profit]]/DataTable[[#This Row],[COGS]]</f>
        <v>2.0833333333333332E-2</v>
      </c>
      <c r="Q129">
        <f>DataTable[[#This Row],[Manufacturing Price]]*DataTable[[#This Row],[Units Sold]]</f>
        <v>165500</v>
      </c>
      <c r="R129" s="26">
        <f>DataTable[[#This Row],[COGS]]-DataTable[[#This Row],[MC_US]]</f>
        <v>-86060</v>
      </c>
      <c r="S129" s="26">
        <f>IF(DataTable[[#This Row],[COGS-MC_US]]&gt;=0,DataTable[[#This Row],[Manufacturing Price]],DataTable[[#This Row],[COGS]]/DataTable[[#This Row],[Units Sold]])</f>
        <v>120</v>
      </c>
    </row>
    <row r="130" spans="1:19" ht="12.75" hidden="1" x14ac:dyDescent="0.2">
      <c r="A130" s="20">
        <v>41974</v>
      </c>
      <c r="B130" t="s">
        <v>391</v>
      </c>
      <c r="C130" t="s">
        <v>393</v>
      </c>
      <c r="D130" t="s">
        <v>352</v>
      </c>
      <c r="E130" t="str">
        <f>VLOOKUP(DataTable[[#This Row],[Country]],Market!B:C,2,FALSE)</f>
        <v>North America</v>
      </c>
      <c r="F130" s="24">
        <v>5</v>
      </c>
      <c r="G130" s="24">
        <v>136560</v>
      </c>
      <c r="H130" s="24">
        <v>125</v>
      </c>
      <c r="I130" s="27">
        <v>1138</v>
      </c>
      <c r="J130" s="24">
        <v>142250</v>
      </c>
      <c r="K130" s="24">
        <v>5690</v>
      </c>
      <c r="L130" s="1" t="s">
        <v>57</v>
      </c>
      <c r="M130" s="24">
        <v>136560</v>
      </c>
      <c r="N130" s="24">
        <f t="shared" si="1"/>
        <v>0</v>
      </c>
      <c r="O130" t="str">
        <f>IF(DataTable[[#This Row],[Profit]]/DataTable[[#This Row],[COGS]]*100&gt;20,"Achived","Not Achived")</f>
        <v>Not Achived</v>
      </c>
      <c r="P130" s="25">
        <f>DataTable[[#This Row],[Profit]]/DataTable[[#This Row],[COGS]]</f>
        <v>0</v>
      </c>
      <c r="Q130">
        <f>DataTable[[#This Row],[Manufacturing Price]]*DataTable[[#This Row],[Units Sold]]</f>
        <v>5690</v>
      </c>
      <c r="R130" s="26">
        <f>DataTable[[#This Row],[COGS]]-DataTable[[#This Row],[MC_US]]</f>
        <v>130870</v>
      </c>
      <c r="S130" s="26">
        <f>IF(DataTable[[#This Row],[COGS-MC_US]]&gt;=0,DataTable[[#This Row],[Manufacturing Price]],DataTable[[#This Row],[COGS]]/DataTable[[#This Row],[Units Sold]])</f>
        <v>5</v>
      </c>
    </row>
    <row r="131" spans="1:19" ht="12.75" hidden="1" x14ac:dyDescent="0.2">
      <c r="A131" s="20">
        <v>41974</v>
      </c>
      <c r="B131" t="s">
        <v>395</v>
      </c>
      <c r="C131" t="s">
        <v>393</v>
      </c>
      <c r="D131" t="s">
        <v>352</v>
      </c>
      <c r="E131" t="str">
        <f>VLOOKUP(DataTable[[#This Row],[Country]],Market!B:C,2,FALSE)</f>
        <v>North America</v>
      </c>
      <c r="F131" s="24">
        <v>10</v>
      </c>
      <c r="G131" s="24">
        <v>136560</v>
      </c>
      <c r="H131" s="24">
        <v>125</v>
      </c>
      <c r="I131" s="27">
        <v>1138</v>
      </c>
      <c r="J131" s="24">
        <v>142250</v>
      </c>
      <c r="K131" s="24">
        <v>5690</v>
      </c>
      <c r="L131" s="1" t="s">
        <v>57</v>
      </c>
      <c r="M131" s="24">
        <v>136560</v>
      </c>
      <c r="N131" s="24">
        <f t="shared" si="1"/>
        <v>0</v>
      </c>
      <c r="O131" t="str">
        <f>IF(DataTable[[#This Row],[Profit]]/DataTable[[#This Row],[COGS]]*100&gt;20,"Achived","Not Achived")</f>
        <v>Not Achived</v>
      </c>
      <c r="P131" s="25">
        <f>DataTable[[#This Row],[Profit]]/DataTable[[#This Row],[COGS]]</f>
        <v>0</v>
      </c>
      <c r="Q131">
        <f>DataTable[[#This Row],[Manufacturing Price]]*DataTable[[#This Row],[Units Sold]]</f>
        <v>11380</v>
      </c>
      <c r="R131" s="26">
        <f>DataTable[[#This Row],[COGS]]-DataTable[[#This Row],[MC_US]]</f>
        <v>125180</v>
      </c>
      <c r="S131" s="26">
        <f>IF(DataTable[[#This Row],[COGS-MC_US]]&gt;=0,DataTable[[#This Row],[Manufacturing Price]],DataTable[[#This Row],[COGS]]/DataTable[[#This Row],[Units Sold]])</f>
        <v>10</v>
      </c>
    </row>
    <row r="132" spans="1:19" ht="12.75" hidden="1" x14ac:dyDescent="0.2">
      <c r="A132" s="20">
        <v>41730</v>
      </c>
      <c r="B132" t="s">
        <v>398</v>
      </c>
      <c r="C132" t="s">
        <v>393</v>
      </c>
      <c r="D132" t="s">
        <v>352</v>
      </c>
      <c r="E132" t="str">
        <f>VLOOKUP(DataTable[[#This Row],[Country]],Market!B:C,2,FALSE)</f>
        <v>North America</v>
      </c>
      <c r="F132" s="24">
        <v>260</v>
      </c>
      <c r="G132" s="24">
        <v>128880</v>
      </c>
      <c r="H132" s="24">
        <v>125</v>
      </c>
      <c r="I132" s="27">
        <v>1074</v>
      </c>
      <c r="J132" s="24">
        <v>134250</v>
      </c>
      <c r="K132" s="24">
        <v>5370</v>
      </c>
      <c r="L132" s="1" t="s">
        <v>57</v>
      </c>
      <c r="M132" s="24">
        <v>128880</v>
      </c>
      <c r="N132" s="24">
        <f t="shared" ref="N132:N195" si="2">M132-G132</f>
        <v>0</v>
      </c>
      <c r="O132" t="str">
        <f>IF(DataTable[[#This Row],[Profit]]/DataTable[[#This Row],[COGS]]*100&gt;20,"Achived","Not Achived")</f>
        <v>Not Achived</v>
      </c>
      <c r="P132" s="25">
        <f>DataTable[[#This Row],[Profit]]/DataTable[[#This Row],[COGS]]</f>
        <v>0</v>
      </c>
      <c r="Q132">
        <f>DataTable[[#This Row],[Manufacturing Price]]*DataTable[[#This Row],[Units Sold]]</f>
        <v>279240</v>
      </c>
      <c r="R132" s="26">
        <f>DataTable[[#This Row],[COGS]]-DataTable[[#This Row],[MC_US]]</f>
        <v>-150360</v>
      </c>
      <c r="S132" s="26">
        <f>IF(DataTable[[#This Row],[COGS-MC_US]]&gt;=0,DataTable[[#This Row],[Manufacturing Price]],DataTable[[#This Row],[COGS]]/DataTable[[#This Row],[Units Sold]])</f>
        <v>120</v>
      </c>
    </row>
    <row r="133" spans="1:19" ht="12.75" hidden="1" x14ac:dyDescent="0.2">
      <c r="A133" s="20">
        <v>41852</v>
      </c>
      <c r="B133" t="s">
        <v>389</v>
      </c>
      <c r="C133" t="s">
        <v>393</v>
      </c>
      <c r="D133" t="s">
        <v>352</v>
      </c>
      <c r="E133" t="str">
        <f>VLOOKUP(DataTable[[#This Row],[Country]],Market!B:C,2,FALSE)</f>
        <v>North America</v>
      </c>
      <c r="F133" s="24">
        <v>3</v>
      </c>
      <c r="G133" s="24">
        <v>184800</v>
      </c>
      <c r="H133" s="24">
        <v>125</v>
      </c>
      <c r="I133" s="27">
        <v>1540</v>
      </c>
      <c r="J133" s="24">
        <v>192500</v>
      </c>
      <c r="K133" s="24">
        <v>15400</v>
      </c>
      <c r="L133" s="1" t="s">
        <v>124</v>
      </c>
      <c r="M133" s="24">
        <v>177100</v>
      </c>
      <c r="N133" s="24">
        <f t="shared" si="2"/>
        <v>-7700</v>
      </c>
      <c r="O133" t="str">
        <f>IF(DataTable[[#This Row],[Profit]]/DataTable[[#This Row],[COGS]]*100&gt;20,"Achived","Not Achived")</f>
        <v>Not Achived</v>
      </c>
      <c r="P133" s="25">
        <f>DataTable[[#This Row],[Profit]]/DataTable[[#This Row],[COGS]]</f>
        <v>-4.1666666666666664E-2</v>
      </c>
      <c r="Q133">
        <f>DataTable[[#This Row],[Manufacturing Price]]*DataTable[[#This Row],[Units Sold]]</f>
        <v>4620</v>
      </c>
      <c r="R133" s="26">
        <f>DataTable[[#This Row],[COGS]]-DataTable[[#This Row],[MC_US]]</f>
        <v>180180</v>
      </c>
      <c r="S133" s="26">
        <f>IF(DataTable[[#This Row],[COGS-MC_US]]&gt;=0,DataTable[[#This Row],[Manufacturing Price]],DataTable[[#This Row],[COGS]]/DataTable[[#This Row],[Units Sold]])</f>
        <v>3</v>
      </c>
    </row>
    <row r="134" spans="1:19" ht="12.75" hidden="1" x14ac:dyDescent="0.2">
      <c r="A134" s="20">
        <v>41699</v>
      </c>
      <c r="B134" t="s">
        <v>395</v>
      </c>
      <c r="C134" t="s">
        <v>393</v>
      </c>
      <c r="D134" t="s">
        <v>352</v>
      </c>
      <c r="E134" t="str">
        <f>VLOOKUP(DataTable[[#This Row],[Country]],Market!B:C,2,FALSE)</f>
        <v>North America</v>
      </c>
      <c r="F134" s="24">
        <v>10</v>
      </c>
      <c r="G134" s="24">
        <v>133680</v>
      </c>
      <c r="H134" s="24">
        <v>125</v>
      </c>
      <c r="I134" s="27">
        <v>1114</v>
      </c>
      <c r="J134" s="24">
        <v>139250</v>
      </c>
      <c r="K134" s="24">
        <v>11140</v>
      </c>
      <c r="L134" s="1" t="s">
        <v>124</v>
      </c>
      <c r="M134" s="24">
        <v>128110</v>
      </c>
      <c r="N134" s="24">
        <f t="shared" si="2"/>
        <v>-5570</v>
      </c>
      <c r="O134" t="str">
        <f>IF(DataTable[[#This Row],[Profit]]/DataTable[[#This Row],[COGS]]*100&gt;20,"Achived","Not Achived")</f>
        <v>Not Achived</v>
      </c>
      <c r="P134" s="25">
        <f>DataTable[[#This Row],[Profit]]/DataTable[[#This Row],[COGS]]</f>
        <v>-4.1666666666666664E-2</v>
      </c>
      <c r="Q134">
        <f>DataTable[[#This Row],[Manufacturing Price]]*DataTable[[#This Row],[Units Sold]]</f>
        <v>11140</v>
      </c>
      <c r="R134" s="26">
        <f>DataTable[[#This Row],[COGS]]-DataTable[[#This Row],[MC_US]]</f>
        <v>122540</v>
      </c>
      <c r="S134" s="26">
        <f>IF(DataTable[[#This Row],[COGS-MC_US]]&gt;=0,DataTable[[#This Row],[Manufacturing Price]],DataTable[[#This Row],[COGS]]/DataTable[[#This Row],[Units Sold]])</f>
        <v>10</v>
      </c>
    </row>
    <row r="135" spans="1:19" ht="12.75" hidden="1" x14ac:dyDescent="0.2">
      <c r="A135" s="20">
        <v>41883</v>
      </c>
      <c r="B135" t="s">
        <v>396</v>
      </c>
      <c r="C135" t="s">
        <v>393</v>
      </c>
      <c r="D135" t="s">
        <v>352</v>
      </c>
      <c r="E135" t="str">
        <f>VLOOKUP(DataTable[[#This Row],[Country]],Market!B:C,2,FALSE)</f>
        <v>North America</v>
      </c>
      <c r="F135" s="24">
        <v>120</v>
      </c>
      <c r="G135" s="24">
        <v>253200</v>
      </c>
      <c r="H135" s="24">
        <v>125</v>
      </c>
      <c r="I135" s="27">
        <v>2110</v>
      </c>
      <c r="J135" s="24">
        <v>263750</v>
      </c>
      <c r="K135" s="24">
        <v>23737.5</v>
      </c>
      <c r="L135" s="1" t="s">
        <v>124</v>
      </c>
      <c r="M135" s="24">
        <v>240012.5</v>
      </c>
      <c r="N135" s="24">
        <f t="shared" si="2"/>
        <v>-13187.5</v>
      </c>
      <c r="O135" t="str">
        <f>IF(DataTable[[#This Row],[Profit]]/DataTable[[#This Row],[COGS]]*100&gt;20,"Achived","Not Achived")</f>
        <v>Not Achived</v>
      </c>
      <c r="P135" s="25">
        <f>DataTable[[#This Row],[Profit]]/DataTable[[#This Row],[COGS]]</f>
        <v>-5.2083333333333336E-2</v>
      </c>
      <c r="Q135">
        <f>DataTable[[#This Row],[Manufacturing Price]]*DataTable[[#This Row],[Units Sold]]</f>
        <v>253200</v>
      </c>
      <c r="R135" s="26">
        <f>DataTable[[#This Row],[COGS]]-DataTable[[#This Row],[MC_US]]</f>
        <v>0</v>
      </c>
      <c r="S135" s="26">
        <f>IF(DataTable[[#This Row],[COGS-MC_US]]&gt;=0,DataTable[[#This Row],[Manufacturing Price]],DataTable[[#This Row],[COGS]]/DataTable[[#This Row],[Units Sold]])</f>
        <v>120</v>
      </c>
    </row>
    <row r="136" spans="1:19" ht="12.75" hidden="1" x14ac:dyDescent="0.2">
      <c r="A136" s="20">
        <v>41944</v>
      </c>
      <c r="B136" t="s">
        <v>397</v>
      </c>
      <c r="C136" t="s">
        <v>393</v>
      </c>
      <c r="D136" t="s">
        <v>352</v>
      </c>
      <c r="E136" t="str">
        <f>VLOOKUP(DataTable[[#This Row],[Country]],Market!B:C,2,FALSE)</f>
        <v>North America</v>
      </c>
      <c r="F136" s="24">
        <v>250</v>
      </c>
      <c r="G136" s="24">
        <v>105240</v>
      </c>
      <c r="H136" s="24">
        <v>125</v>
      </c>
      <c r="I136" s="27">
        <v>877</v>
      </c>
      <c r="J136" s="24">
        <v>109625</v>
      </c>
      <c r="K136" s="24">
        <v>9866.25</v>
      </c>
      <c r="L136" s="1" t="s">
        <v>124</v>
      </c>
      <c r="M136" s="24">
        <v>99758.75</v>
      </c>
      <c r="N136" s="24">
        <f t="shared" si="2"/>
        <v>-5481.25</v>
      </c>
      <c r="O136" t="str">
        <f>IF(DataTable[[#This Row],[Profit]]/DataTable[[#This Row],[COGS]]*100&gt;20,"Achived","Not Achived")</f>
        <v>Not Achived</v>
      </c>
      <c r="P136" s="25">
        <f>DataTable[[#This Row],[Profit]]/DataTable[[#This Row],[COGS]]</f>
        <v>-5.2083333333333336E-2</v>
      </c>
      <c r="Q136">
        <f>DataTable[[#This Row],[Manufacturing Price]]*DataTable[[#This Row],[Units Sold]]</f>
        <v>219250</v>
      </c>
      <c r="R136" s="26">
        <f>DataTable[[#This Row],[COGS]]-DataTable[[#This Row],[MC_US]]</f>
        <v>-114010</v>
      </c>
      <c r="S136" s="26">
        <f>IF(DataTable[[#This Row],[COGS-MC_US]]&gt;=0,DataTable[[#This Row],[Manufacturing Price]],DataTable[[#This Row],[COGS]]/DataTable[[#This Row],[Units Sold]])</f>
        <v>120</v>
      </c>
    </row>
    <row r="137" spans="1:19" ht="12.75" x14ac:dyDescent="0.2">
      <c r="A137" s="20">
        <v>41760</v>
      </c>
      <c r="B137" t="s">
        <v>397</v>
      </c>
      <c r="C137" t="s">
        <v>393</v>
      </c>
      <c r="D137" t="s">
        <v>352</v>
      </c>
      <c r="E137" t="str">
        <f>VLOOKUP(DataTable[[#This Row],[Country]],Market!B:C,2,FALSE)</f>
        <v>North America</v>
      </c>
      <c r="F137" s="24">
        <v>250</v>
      </c>
      <c r="G137" s="24">
        <v>40920</v>
      </c>
      <c r="H137" s="24">
        <v>125</v>
      </c>
      <c r="I137" s="27">
        <v>341</v>
      </c>
      <c r="J137" s="24">
        <v>42625</v>
      </c>
      <c r="K137" s="24">
        <v>4262.5</v>
      </c>
      <c r="L137" s="1" t="s">
        <v>158</v>
      </c>
      <c r="M137" s="24">
        <v>38362.5</v>
      </c>
      <c r="N137" s="24">
        <f t="shared" si="2"/>
        <v>-2557.5</v>
      </c>
      <c r="O137" t="str">
        <f>IF(DataTable[[#This Row],[Profit]]/DataTable[[#This Row],[COGS]]*100&gt;20,"Achived","Not Achived")</f>
        <v>Not Achived</v>
      </c>
      <c r="P137" s="25">
        <f>DataTable[[#This Row],[Profit]]/DataTable[[#This Row],[COGS]]</f>
        <v>-6.25E-2</v>
      </c>
      <c r="Q137">
        <f>DataTable[[#This Row],[Manufacturing Price]]*DataTable[[#This Row],[Units Sold]]</f>
        <v>85250</v>
      </c>
      <c r="R137" s="26">
        <f>DataTable[[#This Row],[COGS]]-DataTable[[#This Row],[MC_US]]</f>
        <v>-44330</v>
      </c>
      <c r="S137" s="26">
        <f>IF(DataTable[[#This Row],[COGS-MC_US]]&gt;=0,DataTable[[#This Row],[Manufacturing Price]],DataTable[[#This Row],[COGS]]/DataTable[[#This Row],[Units Sold]])</f>
        <v>120</v>
      </c>
    </row>
    <row r="138" spans="1:19" ht="12.75" x14ac:dyDescent="0.2">
      <c r="A138" s="20">
        <v>41640</v>
      </c>
      <c r="B138" t="s">
        <v>397</v>
      </c>
      <c r="C138" t="s">
        <v>393</v>
      </c>
      <c r="D138" t="s">
        <v>352</v>
      </c>
      <c r="E138" t="str">
        <f>VLOOKUP(DataTable[[#This Row],[Country]],Market!B:C,2,FALSE)</f>
        <v>North America</v>
      </c>
      <c r="F138" s="24">
        <v>250</v>
      </c>
      <c r="G138" s="24">
        <v>66480</v>
      </c>
      <c r="H138" s="24">
        <v>125</v>
      </c>
      <c r="I138" s="27">
        <v>554</v>
      </c>
      <c r="J138" s="24">
        <v>69250</v>
      </c>
      <c r="K138" s="24">
        <v>7617.5</v>
      </c>
      <c r="L138" s="1" t="s">
        <v>158</v>
      </c>
      <c r="M138" s="24">
        <v>61632.5</v>
      </c>
      <c r="N138" s="24">
        <f t="shared" si="2"/>
        <v>-4847.5</v>
      </c>
      <c r="O138" t="str">
        <f>IF(DataTable[[#This Row],[Profit]]/DataTable[[#This Row],[COGS]]*100&gt;20,"Achived","Not Achived")</f>
        <v>Not Achived</v>
      </c>
      <c r="P138" s="25">
        <f>DataTable[[#This Row],[Profit]]/DataTable[[#This Row],[COGS]]</f>
        <v>-7.2916666666666671E-2</v>
      </c>
      <c r="Q138">
        <f>DataTable[[#This Row],[Manufacturing Price]]*DataTable[[#This Row],[Units Sold]]</f>
        <v>138500</v>
      </c>
      <c r="R138" s="26">
        <f>DataTable[[#This Row],[COGS]]-DataTable[[#This Row],[MC_US]]</f>
        <v>-72020</v>
      </c>
      <c r="S138" s="26">
        <f>IF(DataTable[[#This Row],[COGS-MC_US]]&gt;=0,DataTable[[#This Row],[Manufacturing Price]],DataTable[[#This Row],[COGS]]/DataTable[[#This Row],[Units Sold]])</f>
        <v>120</v>
      </c>
    </row>
    <row r="139" spans="1:19" ht="12.75" x14ac:dyDescent="0.2">
      <c r="A139" s="20">
        <v>41518</v>
      </c>
      <c r="B139" t="s">
        <v>398</v>
      </c>
      <c r="C139" t="s">
        <v>393</v>
      </c>
      <c r="D139" t="s">
        <v>352</v>
      </c>
      <c r="E139" t="str">
        <f>VLOOKUP(DataTable[[#This Row],[Country]],Market!B:C,2,FALSE)</f>
        <v>North America</v>
      </c>
      <c r="F139" s="24">
        <v>260</v>
      </c>
      <c r="G139" s="24">
        <v>113640</v>
      </c>
      <c r="H139" s="24">
        <v>125</v>
      </c>
      <c r="I139" s="27">
        <v>947</v>
      </c>
      <c r="J139" s="24">
        <v>118375</v>
      </c>
      <c r="K139" s="24">
        <v>13021.25</v>
      </c>
      <c r="L139" s="1" t="s">
        <v>158</v>
      </c>
      <c r="M139" s="24">
        <v>105353.75</v>
      </c>
      <c r="N139" s="24">
        <f t="shared" si="2"/>
        <v>-8286.25</v>
      </c>
      <c r="O139" t="str">
        <f>IF(DataTable[[#This Row],[Profit]]/DataTable[[#This Row],[COGS]]*100&gt;20,"Achived","Not Achived")</f>
        <v>Not Achived</v>
      </c>
      <c r="P139" s="25">
        <f>DataTable[[#This Row],[Profit]]/DataTable[[#This Row],[COGS]]</f>
        <v>-7.2916666666666671E-2</v>
      </c>
      <c r="Q139">
        <f>DataTable[[#This Row],[Manufacturing Price]]*DataTable[[#This Row],[Units Sold]]</f>
        <v>246220</v>
      </c>
      <c r="R139" s="26">
        <f>DataTable[[#This Row],[COGS]]-DataTable[[#This Row],[MC_US]]</f>
        <v>-132580</v>
      </c>
      <c r="S139" s="26">
        <f>IF(DataTable[[#This Row],[COGS-MC_US]]&gt;=0,DataTable[[#This Row],[Manufacturing Price]],DataTable[[#This Row],[COGS]]/DataTable[[#This Row],[Units Sold]])</f>
        <v>120</v>
      </c>
    </row>
    <row r="140" spans="1:19" ht="12.75" x14ac:dyDescent="0.2">
      <c r="A140" s="20">
        <v>41913</v>
      </c>
      <c r="B140" t="s">
        <v>389</v>
      </c>
      <c r="C140" t="s">
        <v>393</v>
      </c>
      <c r="D140" t="s">
        <v>352</v>
      </c>
      <c r="E140" t="str">
        <f>VLOOKUP(DataTable[[#This Row],[Country]],Market!B:C,2,FALSE)</f>
        <v>North America</v>
      </c>
      <c r="F140" s="24">
        <v>3</v>
      </c>
      <c r="G140" s="24">
        <v>258720</v>
      </c>
      <c r="H140" s="24">
        <v>125</v>
      </c>
      <c r="I140" s="27">
        <v>2156</v>
      </c>
      <c r="J140" s="24">
        <v>269500</v>
      </c>
      <c r="K140" s="24">
        <v>32340</v>
      </c>
      <c r="L140" s="1" t="s">
        <v>158</v>
      </c>
      <c r="M140" s="24">
        <v>237160</v>
      </c>
      <c r="N140" s="24">
        <f t="shared" si="2"/>
        <v>-21560</v>
      </c>
      <c r="O140" t="str">
        <f>IF(DataTable[[#This Row],[Profit]]/DataTable[[#This Row],[COGS]]*100&gt;20,"Achived","Not Achived")</f>
        <v>Not Achived</v>
      </c>
      <c r="P140" s="25">
        <f>DataTable[[#This Row],[Profit]]/DataTable[[#This Row],[COGS]]</f>
        <v>-8.3333333333333329E-2</v>
      </c>
      <c r="Q140">
        <f>DataTable[[#This Row],[Manufacturing Price]]*DataTable[[#This Row],[Units Sold]]</f>
        <v>6468</v>
      </c>
      <c r="R140" s="26">
        <f>DataTable[[#This Row],[COGS]]-DataTable[[#This Row],[MC_US]]</f>
        <v>252252</v>
      </c>
      <c r="S140" s="26">
        <f>IF(DataTable[[#This Row],[COGS-MC_US]]&gt;=0,DataTable[[#This Row],[Manufacturing Price]],DataTable[[#This Row],[COGS]]/DataTable[[#This Row],[Units Sold]])</f>
        <v>3</v>
      </c>
    </row>
    <row r="141" spans="1:19" ht="12.75" x14ac:dyDescent="0.2">
      <c r="A141" s="20">
        <v>41913</v>
      </c>
      <c r="B141" t="s">
        <v>395</v>
      </c>
      <c r="C141" t="s">
        <v>393</v>
      </c>
      <c r="D141" t="s">
        <v>352</v>
      </c>
      <c r="E141" t="str">
        <f>VLOOKUP(DataTable[[#This Row],[Country]],Market!B:C,2,FALSE)</f>
        <v>North America</v>
      </c>
      <c r="F141" s="24">
        <v>10</v>
      </c>
      <c r="G141" s="24">
        <v>258720</v>
      </c>
      <c r="H141" s="24">
        <v>125</v>
      </c>
      <c r="I141" s="27">
        <v>2156</v>
      </c>
      <c r="J141" s="24">
        <v>269500</v>
      </c>
      <c r="K141" s="24">
        <v>32340</v>
      </c>
      <c r="L141" s="1" t="s">
        <v>158</v>
      </c>
      <c r="M141" s="24">
        <v>237160</v>
      </c>
      <c r="N141" s="24">
        <f t="shared" si="2"/>
        <v>-21560</v>
      </c>
      <c r="O141" t="str">
        <f>IF(DataTable[[#This Row],[Profit]]/DataTable[[#This Row],[COGS]]*100&gt;20,"Achived","Not Achived")</f>
        <v>Not Achived</v>
      </c>
      <c r="P141" s="25">
        <f>DataTable[[#This Row],[Profit]]/DataTable[[#This Row],[COGS]]</f>
        <v>-8.3333333333333329E-2</v>
      </c>
      <c r="Q141">
        <f>DataTable[[#This Row],[Manufacturing Price]]*DataTable[[#This Row],[Units Sold]]</f>
        <v>21560</v>
      </c>
      <c r="R141" s="26">
        <f>DataTable[[#This Row],[COGS]]-DataTable[[#This Row],[MC_US]]</f>
        <v>237160</v>
      </c>
      <c r="S141" s="26">
        <f>IF(DataTable[[#This Row],[COGS-MC_US]]&gt;=0,DataTable[[#This Row],[Manufacturing Price]],DataTable[[#This Row],[COGS]]/DataTable[[#This Row],[Units Sold]])</f>
        <v>10</v>
      </c>
    </row>
    <row r="142" spans="1:19" ht="12.75" x14ac:dyDescent="0.2">
      <c r="A142" s="20">
        <v>41609</v>
      </c>
      <c r="B142" t="s">
        <v>389</v>
      </c>
      <c r="C142" t="s">
        <v>393</v>
      </c>
      <c r="D142" t="s">
        <v>352</v>
      </c>
      <c r="E142" t="str">
        <f>VLOOKUP(DataTable[[#This Row],[Country]],Market!B:C,2,FALSE)</f>
        <v>North America</v>
      </c>
      <c r="F142" s="24">
        <v>3</v>
      </c>
      <c r="G142" s="24">
        <v>338520</v>
      </c>
      <c r="H142" s="24">
        <v>125</v>
      </c>
      <c r="I142" s="27">
        <v>2821</v>
      </c>
      <c r="J142" s="24">
        <v>352625</v>
      </c>
      <c r="K142" s="24">
        <v>49367.5</v>
      </c>
      <c r="L142" s="1" t="s">
        <v>158</v>
      </c>
      <c r="M142" s="24">
        <v>303257.5</v>
      </c>
      <c r="N142" s="24">
        <f t="shared" si="2"/>
        <v>-35262.5</v>
      </c>
      <c r="O142" t="str">
        <f>IF(DataTable[[#This Row],[Profit]]/DataTable[[#This Row],[COGS]]*100&gt;20,"Achived","Not Achived")</f>
        <v>Not Achived</v>
      </c>
      <c r="P142" s="25">
        <f>DataTable[[#This Row],[Profit]]/DataTable[[#This Row],[COGS]]</f>
        <v>-0.10416666666666667</v>
      </c>
      <c r="Q142">
        <f>DataTable[[#This Row],[Manufacturing Price]]*DataTable[[#This Row],[Units Sold]]</f>
        <v>8463</v>
      </c>
      <c r="R142" s="26">
        <f>DataTable[[#This Row],[COGS]]-DataTable[[#This Row],[MC_US]]</f>
        <v>330057</v>
      </c>
      <c r="S142" s="26">
        <f>IF(DataTable[[#This Row],[COGS-MC_US]]&gt;=0,DataTable[[#This Row],[Manufacturing Price]],DataTable[[#This Row],[COGS]]/DataTable[[#This Row],[Units Sold]])</f>
        <v>3</v>
      </c>
    </row>
    <row r="143" spans="1:19" ht="12.75" x14ac:dyDescent="0.2">
      <c r="A143" s="20">
        <v>41671</v>
      </c>
      <c r="B143" t="s">
        <v>396</v>
      </c>
      <c r="C143" t="s">
        <v>393</v>
      </c>
      <c r="D143" t="s">
        <v>352</v>
      </c>
      <c r="E143" t="str">
        <f>VLOOKUP(DataTable[[#This Row],[Country]],Market!B:C,2,FALSE)</f>
        <v>North America</v>
      </c>
      <c r="F143" s="24">
        <v>120</v>
      </c>
      <c r="G143" s="24">
        <v>189000</v>
      </c>
      <c r="H143" s="24">
        <v>125</v>
      </c>
      <c r="I143" s="27">
        <v>1575</v>
      </c>
      <c r="J143" s="24">
        <v>196875</v>
      </c>
      <c r="K143" s="24">
        <v>27562.5</v>
      </c>
      <c r="L143" s="1" t="s">
        <v>158</v>
      </c>
      <c r="M143" s="24">
        <v>169312.5</v>
      </c>
      <c r="N143" s="24">
        <f t="shared" si="2"/>
        <v>-19687.5</v>
      </c>
      <c r="O143" t="str">
        <f>IF(DataTable[[#This Row],[Profit]]/DataTable[[#This Row],[COGS]]*100&gt;20,"Achived","Not Achived")</f>
        <v>Not Achived</v>
      </c>
      <c r="P143" s="25">
        <f>DataTable[[#This Row],[Profit]]/DataTable[[#This Row],[COGS]]</f>
        <v>-0.10416666666666667</v>
      </c>
      <c r="Q143">
        <f>DataTable[[#This Row],[Manufacturing Price]]*DataTable[[#This Row],[Units Sold]]</f>
        <v>189000</v>
      </c>
      <c r="R143" s="26">
        <f>DataTable[[#This Row],[COGS]]-DataTable[[#This Row],[MC_US]]</f>
        <v>0</v>
      </c>
      <c r="S143" s="26">
        <f>IF(DataTable[[#This Row],[COGS-MC_US]]&gt;=0,DataTable[[#This Row],[Manufacturing Price]],DataTable[[#This Row],[COGS]]/DataTable[[#This Row],[Units Sold]])</f>
        <v>120</v>
      </c>
    </row>
    <row r="144" spans="1:19" ht="12.75" hidden="1" x14ac:dyDescent="0.2">
      <c r="A144" s="20">
        <v>41730</v>
      </c>
      <c r="B144" t="s">
        <v>398</v>
      </c>
      <c r="C144" t="s">
        <v>393</v>
      </c>
      <c r="D144" t="s">
        <v>305</v>
      </c>
      <c r="E144" t="str">
        <f>VLOOKUP(DataTable[[#This Row],[Country]],Market!B:C,2,FALSE)</f>
        <v>Europe</v>
      </c>
      <c r="F144" s="24">
        <v>260</v>
      </c>
      <c r="G144" s="24">
        <v>506340</v>
      </c>
      <c r="H144" s="24">
        <v>125</v>
      </c>
      <c r="I144" s="27">
        <v>4219.5</v>
      </c>
      <c r="J144" s="24">
        <v>527437.5</v>
      </c>
      <c r="K144" s="24">
        <v>0</v>
      </c>
      <c r="L144" s="1" t="s">
        <v>12</v>
      </c>
      <c r="M144" s="24">
        <v>527437.5</v>
      </c>
      <c r="N144" s="24">
        <f t="shared" si="2"/>
        <v>21097.5</v>
      </c>
      <c r="O144" t="str">
        <f>IF(DataTable[[#This Row],[Profit]]/DataTable[[#This Row],[COGS]]*100&gt;20,"Achived","Not Achived")</f>
        <v>Not Achived</v>
      </c>
      <c r="P144" s="25">
        <f>DataTable[[#This Row],[Profit]]/DataTable[[#This Row],[COGS]]</f>
        <v>4.1666666666666664E-2</v>
      </c>
      <c r="Q144">
        <f>DataTable[[#This Row],[Manufacturing Price]]*DataTable[[#This Row],[Units Sold]]</f>
        <v>1097070</v>
      </c>
      <c r="R144" s="26">
        <f>DataTable[[#This Row],[COGS]]-DataTable[[#This Row],[MC_US]]</f>
        <v>-590730</v>
      </c>
      <c r="S144" s="26">
        <f>IF(DataTable[[#This Row],[COGS-MC_US]]&gt;=0,DataTable[[#This Row],[Manufacturing Price]],DataTable[[#This Row],[COGS]]/DataTable[[#This Row],[Units Sold]])</f>
        <v>120</v>
      </c>
    </row>
    <row r="145" spans="1:19" ht="12.75" hidden="1" x14ac:dyDescent="0.2">
      <c r="A145" s="20">
        <v>41548</v>
      </c>
      <c r="B145" t="s">
        <v>395</v>
      </c>
      <c r="C145" t="s">
        <v>393</v>
      </c>
      <c r="D145" t="s">
        <v>305</v>
      </c>
      <c r="E145" t="str">
        <f>VLOOKUP(DataTable[[#This Row],[Country]],Market!B:C,2,FALSE)</f>
        <v>Europe</v>
      </c>
      <c r="F145" s="24">
        <v>10</v>
      </c>
      <c r="G145" s="24">
        <v>97080</v>
      </c>
      <c r="H145" s="24">
        <v>125</v>
      </c>
      <c r="I145" s="27">
        <v>809</v>
      </c>
      <c r="J145" s="24">
        <v>101125</v>
      </c>
      <c r="K145" s="24">
        <v>2022.5</v>
      </c>
      <c r="L145" s="1" t="s">
        <v>57</v>
      </c>
      <c r="M145" s="24">
        <v>99102.5</v>
      </c>
      <c r="N145" s="24">
        <f t="shared" si="2"/>
        <v>2022.5</v>
      </c>
      <c r="O145" t="str">
        <f>IF(DataTable[[#This Row],[Profit]]/DataTable[[#This Row],[COGS]]*100&gt;20,"Achived","Not Achived")</f>
        <v>Not Achived</v>
      </c>
      <c r="P145" s="25">
        <f>DataTable[[#This Row],[Profit]]/DataTable[[#This Row],[COGS]]</f>
        <v>2.0833333333333332E-2</v>
      </c>
      <c r="Q145">
        <f>DataTable[[#This Row],[Manufacturing Price]]*DataTable[[#This Row],[Units Sold]]</f>
        <v>8090</v>
      </c>
      <c r="R145" s="26">
        <f>DataTable[[#This Row],[COGS]]-DataTable[[#This Row],[MC_US]]</f>
        <v>88990</v>
      </c>
      <c r="S145" s="26">
        <f>IF(DataTable[[#This Row],[COGS-MC_US]]&gt;=0,DataTable[[#This Row],[Manufacturing Price]],DataTable[[#This Row],[COGS]]/DataTable[[#This Row],[Units Sold]])</f>
        <v>10</v>
      </c>
    </row>
    <row r="146" spans="1:19" ht="12.75" hidden="1" x14ac:dyDescent="0.2">
      <c r="A146" s="20">
        <v>41548</v>
      </c>
      <c r="B146" t="s">
        <v>396</v>
      </c>
      <c r="C146" t="s">
        <v>393</v>
      </c>
      <c r="D146" t="s">
        <v>305</v>
      </c>
      <c r="E146" t="str">
        <f>VLOOKUP(DataTable[[#This Row],[Country]],Market!B:C,2,FALSE)</f>
        <v>Europe</v>
      </c>
      <c r="F146" s="24">
        <v>120</v>
      </c>
      <c r="G146" s="24">
        <v>97080</v>
      </c>
      <c r="H146" s="24">
        <v>125</v>
      </c>
      <c r="I146" s="27">
        <v>809</v>
      </c>
      <c r="J146" s="24">
        <v>101125</v>
      </c>
      <c r="K146" s="24">
        <v>2022.5</v>
      </c>
      <c r="L146" s="1" t="s">
        <v>57</v>
      </c>
      <c r="M146" s="24">
        <v>99102.5</v>
      </c>
      <c r="N146" s="24">
        <f t="shared" si="2"/>
        <v>2022.5</v>
      </c>
      <c r="O146" t="str">
        <f>IF(DataTable[[#This Row],[Profit]]/DataTable[[#This Row],[COGS]]*100&gt;20,"Achived","Not Achived")</f>
        <v>Not Achived</v>
      </c>
      <c r="P146" s="25">
        <f>DataTable[[#This Row],[Profit]]/DataTable[[#This Row],[COGS]]</f>
        <v>2.0833333333333332E-2</v>
      </c>
      <c r="Q146">
        <f>DataTable[[#This Row],[Manufacturing Price]]*DataTable[[#This Row],[Units Sold]]</f>
        <v>97080</v>
      </c>
      <c r="R146" s="26">
        <f>DataTable[[#This Row],[COGS]]-DataTable[[#This Row],[MC_US]]</f>
        <v>0</v>
      </c>
      <c r="S146" s="26">
        <f>IF(DataTable[[#This Row],[COGS-MC_US]]&gt;=0,DataTable[[#This Row],[Manufacturing Price]],DataTable[[#This Row],[COGS]]/DataTable[[#This Row],[Units Sold]])</f>
        <v>120</v>
      </c>
    </row>
    <row r="147" spans="1:19" ht="12.75" hidden="1" x14ac:dyDescent="0.2">
      <c r="A147" s="20">
        <v>41760</v>
      </c>
      <c r="B147" t="s">
        <v>398</v>
      </c>
      <c r="C147" t="s">
        <v>393</v>
      </c>
      <c r="D147" t="s">
        <v>305</v>
      </c>
      <c r="E147" t="str">
        <f>VLOOKUP(DataTable[[#This Row],[Country]],Market!B:C,2,FALSE)</f>
        <v>Europe</v>
      </c>
      <c r="F147" s="24">
        <v>260</v>
      </c>
      <c r="G147" s="24">
        <v>273120</v>
      </c>
      <c r="H147" s="24">
        <v>125</v>
      </c>
      <c r="I147" s="27">
        <v>2276</v>
      </c>
      <c r="J147" s="24">
        <v>284500</v>
      </c>
      <c r="K147" s="24">
        <v>5690</v>
      </c>
      <c r="L147" s="1" t="s">
        <v>57</v>
      </c>
      <c r="M147" s="24">
        <v>278810</v>
      </c>
      <c r="N147" s="24">
        <f t="shared" si="2"/>
        <v>5690</v>
      </c>
      <c r="O147" t="str">
        <f>IF(DataTable[[#This Row],[Profit]]/DataTable[[#This Row],[COGS]]*100&gt;20,"Achived","Not Achived")</f>
        <v>Not Achived</v>
      </c>
      <c r="P147" s="25">
        <f>DataTable[[#This Row],[Profit]]/DataTable[[#This Row],[COGS]]</f>
        <v>2.0833333333333332E-2</v>
      </c>
      <c r="Q147">
        <f>DataTable[[#This Row],[Manufacturing Price]]*DataTable[[#This Row],[Units Sold]]</f>
        <v>591760</v>
      </c>
      <c r="R147" s="26">
        <f>DataTable[[#This Row],[COGS]]-DataTable[[#This Row],[MC_US]]</f>
        <v>-318640</v>
      </c>
      <c r="S147" s="26">
        <f>IF(DataTable[[#This Row],[COGS-MC_US]]&gt;=0,DataTable[[#This Row],[Manufacturing Price]],DataTable[[#This Row],[COGS]]/DataTable[[#This Row],[Units Sold]])</f>
        <v>120</v>
      </c>
    </row>
    <row r="148" spans="1:19" ht="12.75" hidden="1" x14ac:dyDescent="0.2">
      <c r="A148" s="20">
        <v>41974</v>
      </c>
      <c r="B148" t="s">
        <v>391</v>
      </c>
      <c r="C148" t="s">
        <v>393</v>
      </c>
      <c r="D148" t="s">
        <v>305</v>
      </c>
      <c r="E148" t="str">
        <f>VLOOKUP(DataTable[[#This Row],[Country]],Market!B:C,2,FALSE)</f>
        <v>Europe</v>
      </c>
      <c r="F148" s="24">
        <v>5</v>
      </c>
      <c r="G148" s="24">
        <v>204720</v>
      </c>
      <c r="H148" s="24">
        <v>125</v>
      </c>
      <c r="I148" s="27">
        <v>1706</v>
      </c>
      <c r="J148" s="24">
        <v>213250</v>
      </c>
      <c r="K148" s="24">
        <v>6397.5</v>
      </c>
      <c r="L148" s="1" t="s">
        <v>57</v>
      </c>
      <c r="M148" s="24">
        <v>206852.5</v>
      </c>
      <c r="N148" s="24">
        <f t="shared" si="2"/>
        <v>2132.5</v>
      </c>
      <c r="O148" t="str">
        <f>IF(DataTable[[#This Row],[Profit]]/DataTable[[#This Row],[COGS]]*100&gt;20,"Achived","Not Achived")</f>
        <v>Not Achived</v>
      </c>
      <c r="P148" s="25">
        <f>DataTable[[#This Row],[Profit]]/DataTable[[#This Row],[COGS]]</f>
        <v>1.0416666666666666E-2</v>
      </c>
      <c r="Q148">
        <f>DataTable[[#This Row],[Manufacturing Price]]*DataTable[[#This Row],[Units Sold]]</f>
        <v>8530</v>
      </c>
      <c r="R148" s="26">
        <f>DataTable[[#This Row],[COGS]]-DataTable[[#This Row],[MC_US]]</f>
        <v>196190</v>
      </c>
      <c r="S148" s="26">
        <f>IF(DataTable[[#This Row],[COGS-MC_US]]&gt;=0,DataTable[[#This Row],[Manufacturing Price]],DataTable[[#This Row],[COGS]]/DataTable[[#This Row],[Units Sold]])</f>
        <v>5</v>
      </c>
    </row>
    <row r="149" spans="1:19" ht="12.75" hidden="1" x14ac:dyDescent="0.2">
      <c r="A149" s="20">
        <v>41791</v>
      </c>
      <c r="B149" t="s">
        <v>395</v>
      </c>
      <c r="C149" t="s">
        <v>393</v>
      </c>
      <c r="D149" t="s">
        <v>305</v>
      </c>
      <c r="E149" t="str">
        <f>VLOOKUP(DataTable[[#This Row],[Country]],Market!B:C,2,FALSE)</f>
        <v>Europe</v>
      </c>
      <c r="F149" s="24">
        <v>10</v>
      </c>
      <c r="G149" s="24">
        <v>188400</v>
      </c>
      <c r="H149" s="24">
        <v>125</v>
      </c>
      <c r="I149" s="27">
        <v>1570</v>
      </c>
      <c r="J149" s="24">
        <v>196250</v>
      </c>
      <c r="K149" s="24">
        <v>5887.5</v>
      </c>
      <c r="L149" s="1" t="s">
        <v>57</v>
      </c>
      <c r="M149" s="24">
        <v>190362.5</v>
      </c>
      <c r="N149" s="24">
        <f t="shared" si="2"/>
        <v>1962.5</v>
      </c>
      <c r="O149" t="str">
        <f>IF(DataTable[[#This Row],[Profit]]/DataTable[[#This Row],[COGS]]*100&gt;20,"Achived","Not Achived")</f>
        <v>Not Achived</v>
      </c>
      <c r="P149" s="25">
        <f>DataTable[[#This Row],[Profit]]/DataTable[[#This Row],[COGS]]</f>
        <v>1.0416666666666666E-2</v>
      </c>
      <c r="Q149">
        <f>DataTable[[#This Row],[Manufacturing Price]]*DataTable[[#This Row],[Units Sold]]</f>
        <v>15700</v>
      </c>
      <c r="R149" s="26">
        <f>DataTable[[#This Row],[COGS]]-DataTable[[#This Row],[MC_US]]</f>
        <v>172700</v>
      </c>
      <c r="S149" s="26">
        <f>IF(DataTable[[#This Row],[COGS-MC_US]]&gt;=0,DataTable[[#This Row],[Manufacturing Price]],DataTable[[#This Row],[COGS]]/DataTable[[#This Row],[Units Sold]])</f>
        <v>10</v>
      </c>
    </row>
    <row r="150" spans="1:19" ht="12.75" hidden="1" x14ac:dyDescent="0.2">
      <c r="A150" s="20">
        <v>41974</v>
      </c>
      <c r="B150" t="s">
        <v>395</v>
      </c>
      <c r="C150" t="s">
        <v>393</v>
      </c>
      <c r="D150" t="s">
        <v>305</v>
      </c>
      <c r="E150" t="str">
        <f>VLOOKUP(DataTable[[#This Row],[Country]],Market!B:C,2,FALSE)</f>
        <v>Europe</v>
      </c>
      <c r="F150" s="24">
        <v>10</v>
      </c>
      <c r="G150" s="24">
        <v>204720</v>
      </c>
      <c r="H150" s="24">
        <v>125</v>
      </c>
      <c r="I150" s="27">
        <v>1706</v>
      </c>
      <c r="J150" s="24">
        <v>213250</v>
      </c>
      <c r="K150" s="24">
        <v>6397.5</v>
      </c>
      <c r="L150" s="1" t="s">
        <v>57</v>
      </c>
      <c r="M150" s="24">
        <v>206852.5</v>
      </c>
      <c r="N150" s="24">
        <f t="shared" si="2"/>
        <v>2132.5</v>
      </c>
      <c r="O150" t="str">
        <f>IF(DataTable[[#This Row],[Profit]]/DataTable[[#This Row],[COGS]]*100&gt;20,"Achived","Not Achived")</f>
        <v>Not Achived</v>
      </c>
      <c r="P150" s="25">
        <f>DataTable[[#This Row],[Profit]]/DataTable[[#This Row],[COGS]]</f>
        <v>1.0416666666666666E-2</v>
      </c>
      <c r="Q150">
        <f>DataTable[[#This Row],[Manufacturing Price]]*DataTable[[#This Row],[Units Sold]]</f>
        <v>17060</v>
      </c>
      <c r="R150" s="26">
        <f>DataTable[[#This Row],[COGS]]-DataTable[[#This Row],[MC_US]]</f>
        <v>187660</v>
      </c>
      <c r="S150" s="26">
        <f>IF(DataTable[[#This Row],[COGS-MC_US]]&gt;=0,DataTable[[#This Row],[Manufacturing Price]],DataTable[[#This Row],[COGS]]/DataTable[[#This Row],[Units Sold]])</f>
        <v>10</v>
      </c>
    </row>
    <row r="151" spans="1:19" ht="12.75" hidden="1" x14ac:dyDescent="0.2">
      <c r="A151" s="20">
        <v>41791</v>
      </c>
      <c r="B151" t="s">
        <v>397</v>
      </c>
      <c r="C151" t="s">
        <v>393</v>
      </c>
      <c r="D151" t="s">
        <v>305</v>
      </c>
      <c r="E151" t="str">
        <f>VLOOKUP(DataTable[[#This Row],[Country]],Market!B:C,2,FALSE)</f>
        <v>Europe</v>
      </c>
      <c r="F151" s="24">
        <v>250</v>
      </c>
      <c r="G151" s="24">
        <v>188400</v>
      </c>
      <c r="H151" s="24">
        <v>125</v>
      </c>
      <c r="I151" s="27">
        <v>1570</v>
      </c>
      <c r="J151" s="24">
        <v>196250</v>
      </c>
      <c r="K151" s="24">
        <v>5887.5</v>
      </c>
      <c r="L151" s="1" t="s">
        <v>57</v>
      </c>
      <c r="M151" s="24">
        <v>190362.5</v>
      </c>
      <c r="N151" s="24">
        <f t="shared" si="2"/>
        <v>1962.5</v>
      </c>
      <c r="O151" t="str">
        <f>IF(DataTable[[#This Row],[Profit]]/DataTable[[#This Row],[COGS]]*100&gt;20,"Achived","Not Achived")</f>
        <v>Not Achived</v>
      </c>
      <c r="P151" s="25">
        <f>DataTable[[#This Row],[Profit]]/DataTable[[#This Row],[COGS]]</f>
        <v>1.0416666666666666E-2</v>
      </c>
      <c r="Q151">
        <f>DataTable[[#This Row],[Manufacturing Price]]*DataTable[[#This Row],[Units Sold]]</f>
        <v>392500</v>
      </c>
      <c r="R151" s="26">
        <f>DataTable[[#This Row],[COGS]]-DataTable[[#This Row],[MC_US]]</f>
        <v>-204100</v>
      </c>
      <c r="S151" s="26">
        <f>IF(DataTable[[#This Row],[COGS-MC_US]]&gt;=0,DataTable[[#This Row],[Manufacturing Price]],DataTable[[#This Row],[COGS]]/DataTable[[#This Row],[Units Sold]])</f>
        <v>120</v>
      </c>
    </row>
    <row r="152" spans="1:19" ht="12.75" hidden="1" x14ac:dyDescent="0.2">
      <c r="A152" s="20">
        <v>41699</v>
      </c>
      <c r="B152" t="s">
        <v>395</v>
      </c>
      <c r="C152" t="s">
        <v>393</v>
      </c>
      <c r="D152" t="s">
        <v>305</v>
      </c>
      <c r="E152" t="str">
        <f>VLOOKUP(DataTable[[#This Row],[Country]],Market!B:C,2,FALSE)</f>
        <v>Europe</v>
      </c>
      <c r="F152" s="24">
        <v>10</v>
      </c>
      <c r="G152" s="24">
        <v>95400</v>
      </c>
      <c r="H152" s="24">
        <v>125</v>
      </c>
      <c r="I152" s="27">
        <v>795</v>
      </c>
      <c r="J152" s="24">
        <v>99375</v>
      </c>
      <c r="K152" s="24">
        <v>3975</v>
      </c>
      <c r="L152" s="1" t="s">
        <v>57</v>
      </c>
      <c r="M152" s="24">
        <v>95400</v>
      </c>
      <c r="N152" s="24">
        <f t="shared" si="2"/>
        <v>0</v>
      </c>
      <c r="O152" t="str">
        <f>IF(DataTable[[#This Row],[Profit]]/DataTable[[#This Row],[COGS]]*100&gt;20,"Achived","Not Achived")</f>
        <v>Not Achived</v>
      </c>
      <c r="P152" s="25">
        <f>DataTable[[#This Row],[Profit]]/DataTable[[#This Row],[COGS]]</f>
        <v>0</v>
      </c>
      <c r="Q152">
        <f>DataTable[[#This Row],[Manufacturing Price]]*DataTable[[#This Row],[Units Sold]]</f>
        <v>7950</v>
      </c>
      <c r="R152" s="26">
        <f>DataTable[[#This Row],[COGS]]-DataTable[[#This Row],[MC_US]]</f>
        <v>87450</v>
      </c>
      <c r="S152" s="26">
        <f>IF(DataTable[[#This Row],[COGS-MC_US]]&gt;=0,DataTable[[#This Row],[Manufacturing Price]],DataTable[[#This Row],[COGS]]/DataTable[[#This Row],[Units Sold]])</f>
        <v>10</v>
      </c>
    </row>
    <row r="153" spans="1:19" ht="12.75" hidden="1" x14ac:dyDescent="0.2">
      <c r="A153" s="20">
        <v>41671</v>
      </c>
      <c r="B153" t="s">
        <v>396</v>
      </c>
      <c r="C153" t="s">
        <v>393</v>
      </c>
      <c r="D153" t="s">
        <v>305</v>
      </c>
      <c r="E153" t="str">
        <f>VLOOKUP(DataTable[[#This Row],[Country]],Market!B:C,2,FALSE)</f>
        <v>Europe</v>
      </c>
      <c r="F153" s="24">
        <v>120</v>
      </c>
      <c r="G153" s="24">
        <v>96840</v>
      </c>
      <c r="H153" s="24">
        <v>125</v>
      </c>
      <c r="I153" s="27">
        <v>807</v>
      </c>
      <c r="J153" s="24">
        <v>100875</v>
      </c>
      <c r="K153" s="24">
        <v>5043.75</v>
      </c>
      <c r="L153" s="1" t="s">
        <v>124</v>
      </c>
      <c r="M153" s="24">
        <v>95831.25</v>
      </c>
      <c r="N153" s="24">
        <f t="shared" si="2"/>
        <v>-1008.75</v>
      </c>
      <c r="O153" t="str">
        <f>IF(DataTable[[#This Row],[Profit]]/DataTable[[#This Row],[COGS]]*100&gt;20,"Achived","Not Achived")</f>
        <v>Not Achived</v>
      </c>
      <c r="P153" s="25">
        <f>DataTable[[#This Row],[Profit]]/DataTable[[#This Row],[COGS]]</f>
        <v>-1.0416666666666666E-2</v>
      </c>
      <c r="Q153">
        <f>DataTable[[#This Row],[Manufacturing Price]]*DataTable[[#This Row],[Units Sold]]</f>
        <v>96840</v>
      </c>
      <c r="R153" s="26">
        <f>DataTable[[#This Row],[COGS]]-DataTable[[#This Row],[MC_US]]</f>
        <v>0</v>
      </c>
      <c r="S153" s="26">
        <f>IF(DataTable[[#This Row],[COGS-MC_US]]&gt;=0,DataTable[[#This Row],[Manufacturing Price]],DataTable[[#This Row],[COGS]]/DataTable[[#This Row],[Units Sold]])</f>
        <v>120</v>
      </c>
    </row>
    <row r="154" spans="1:19" ht="12.75" hidden="1" x14ac:dyDescent="0.2">
      <c r="A154" s="20">
        <v>41609</v>
      </c>
      <c r="B154" t="s">
        <v>389</v>
      </c>
      <c r="C154" t="s">
        <v>393</v>
      </c>
      <c r="D154" t="s">
        <v>305</v>
      </c>
      <c r="E154" t="str">
        <f>VLOOKUP(DataTable[[#This Row],[Country]],Market!B:C,2,FALSE)</f>
        <v>Europe</v>
      </c>
      <c r="F154" s="24">
        <v>3</v>
      </c>
      <c r="G154" s="24">
        <v>106440</v>
      </c>
      <c r="H154" s="24">
        <v>125</v>
      </c>
      <c r="I154" s="27">
        <v>887</v>
      </c>
      <c r="J154" s="24">
        <v>110875</v>
      </c>
      <c r="K154" s="24">
        <v>6652.5</v>
      </c>
      <c r="L154" s="1" t="s">
        <v>124</v>
      </c>
      <c r="M154" s="24">
        <v>104222.5</v>
      </c>
      <c r="N154" s="24">
        <f t="shared" si="2"/>
        <v>-2217.5</v>
      </c>
      <c r="O154" t="str">
        <f>IF(DataTable[[#This Row],[Profit]]/DataTable[[#This Row],[COGS]]*100&gt;20,"Achived","Not Achived")</f>
        <v>Not Achived</v>
      </c>
      <c r="P154" s="25">
        <f>DataTable[[#This Row],[Profit]]/DataTable[[#This Row],[COGS]]</f>
        <v>-2.0833333333333332E-2</v>
      </c>
      <c r="Q154">
        <f>DataTable[[#This Row],[Manufacturing Price]]*DataTable[[#This Row],[Units Sold]]</f>
        <v>2661</v>
      </c>
      <c r="R154" s="26">
        <f>DataTable[[#This Row],[COGS]]-DataTable[[#This Row],[MC_US]]</f>
        <v>103779</v>
      </c>
      <c r="S154" s="26">
        <f>IF(DataTable[[#This Row],[COGS-MC_US]]&gt;=0,DataTable[[#This Row],[Manufacturing Price]],DataTable[[#This Row],[COGS]]/DataTable[[#This Row],[Units Sold]])</f>
        <v>3</v>
      </c>
    </row>
    <row r="155" spans="1:19" ht="12.75" hidden="1" x14ac:dyDescent="0.2">
      <c r="A155" s="20">
        <v>41579</v>
      </c>
      <c r="B155" t="s">
        <v>391</v>
      </c>
      <c r="C155" t="s">
        <v>393</v>
      </c>
      <c r="D155" t="s">
        <v>305</v>
      </c>
      <c r="E155" t="str">
        <f>VLOOKUP(DataTable[[#This Row],[Country]],Market!B:C,2,FALSE)</f>
        <v>Europe</v>
      </c>
      <c r="F155" s="24">
        <v>5</v>
      </c>
      <c r="G155" s="24">
        <v>300000</v>
      </c>
      <c r="H155" s="24">
        <v>125</v>
      </c>
      <c r="I155" s="27">
        <v>2500</v>
      </c>
      <c r="J155" s="24">
        <v>312500</v>
      </c>
      <c r="K155" s="24">
        <v>21875</v>
      </c>
      <c r="L155" s="1" t="s">
        <v>124</v>
      </c>
      <c r="M155" s="24">
        <v>290625</v>
      </c>
      <c r="N155" s="24">
        <f t="shared" si="2"/>
        <v>-9375</v>
      </c>
      <c r="O155" t="str">
        <f>IF(DataTable[[#This Row],[Profit]]/DataTable[[#This Row],[COGS]]*100&gt;20,"Achived","Not Achived")</f>
        <v>Not Achived</v>
      </c>
      <c r="P155" s="25">
        <f>DataTable[[#This Row],[Profit]]/DataTable[[#This Row],[COGS]]</f>
        <v>-3.125E-2</v>
      </c>
      <c r="Q155">
        <f>DataTable[[#This Row],[Manufacturing Price]]*DataTable[[#This Row],[Units Sold]]</f>
        <v>12500</v>
      </c>
      <c r="R155" s="26">
        <f>DataTable[[#This Row],[COGS]]-DataTable[[#This Row],[MC_US]]</f>
        <v>287500</v>
      </c>
      <c r="S155" s="26">
        <f>IF(DataTable[[#This Row],[COGS-MC_US]]&gt;=0,DataTable[[#This Row],[Manufacturing Price]],DataTable[[#This Row],[COGS]]/DataTable[[#This Row],[Units Sold]])</f>
        <v>5</v>
      </c>
    </row>
    <row r="156" spans="1:19" ht="12.75" hidden="1" x14ac:dyDescent="0.2">
      <c r="A156" s="20">
        <v>41821</v>
      </c>
      <c r="B156" t="s">
        <v>395</v>
      </c>
      <c r="C156" t="s">
        <v>393</v>
      </c>
      <c r="D156" t="s">
        <v>305</v>
      </c>
      <c r="E156" t="str">
        <f>VLOOKUP(DataTable[[#This Row],[Country]],Market!B:C,2,FALSE)</f>
        <v>Europe</v>
      </c>
      <c r="F156" s="24">
        <v>10</v>
      </c>
      <c r="G156" s="24">
        <v>421560</v>
      </c>
      <c r="H156" s="24">
        <v>125</v>
      </c>
      <c r="I156" s="27">
        <v>3513</v>
      </c>
      <c r="J156" s="24">
        <v>439125</v>
      </c>
      <c r="K156" s="24">
        <v>30738.75</v>
      </c>
      <c r="L156" s="1" t="s">
        <v>124</v>
      </c>
      <c r="M156" s="24">
        <v>408386.25</v>
      </c>
      <c r="N156" s="24">
        <f t="shared" si="2"/>
        <v>-13173.75</v>
      </c>
      <c r="O156" t="str">
        <f>IF(DataTable[[#This Row],[Profit]]/DataTable[[#This Row],[COGS]]*100&gt;20,"Achived","Not Achived")</f>
        <v>Not Achived</v>
      </c>
      <c r="P156" s="25">
        <f>DataTable[[#This Row],[Profit]]/DataTable[[#This Row],[COGS]]</f>
        <v>-3.125E-2</v>
      </c>
      <c r="Q156">
        <f>DataTable[[#This Row],[Manufacturing Price]]*DataTable[[#This Row],[Units Sold]]</f>
        <v>35130</v>
      </c>
      <c r="R156" s="26">
        <f>DataTable[[#This Row],[COGS]]-DataTable[[#This Row],[MC_US]]</f>
        <v>386430</v>
      </c>
      <c r="S156" s="26">
        <f>IF(DataTable[[#This Row],[COGS-MC_US]]&gt;=0,DataTable[[#This Row],[Manufacturing Price]],DataTable[[#This Row],[COGS]]/DataTable[[#This Row],[Units Sold]])</f>
        <v>10</v>
      </c>
    </row>
    <row r="157" spans="1:19" ht="12.75" hidden="1" x14ac:dyDescent="0.2">
      <c r="A157" s="20">
        <v>41883</v>
      </c>
      <c r="B157" t="s">
        <v>396</v>
      </c>
      <c r="C157" t="s">
        <v>393</v>
      </c>
      <c r="D157" t="s">
        <v>305</v>
      </c>
      <c r="E157" t="str">
        <f>VLOOKUP(DataTable[[#This Row],[Country]],Market!B:C,2,FALSE)</f>
        <v>Europe</v>
      </c>
      <c r="F157" s="24">
        <v>120</v>
      </c>
      <c r="G157" s="24">
        <v>250440</v>
      </c>
      <c r="H157" s="24">
        <v>125</v>
      </c>
      <c r="I157" s="27">
        <v>2087</v>
      </c>
      <c r="J157" s="24">
        <v>260875</v>
      </c>
      <c r="K157" s="24">
        <v>18261.25</v>
      </c>
      <c r="L157" s="1" t="s">
        <v>124</v>
      </c>
      <c r="M157" s="24">
        <v>242613.75</v>
      </c>
      <c r="N157" s="24">
        <f t="shared" si="2"/>
        <v>-7826.25</v>
      </c>
      <c r="O157" t="str">
        <f>IF(DataTable[[#This Row],[Profit]]/DataTable[[#This Row],[COGS]]*100&gt;20,"Achived","Not Achived")</f>
        <v>Not Achived</v>
      </c>
      <c r="P157" s="25">
        <f>DataTable[[#This Row],[Profit]]/DataTable[[#This Row],[COGS]]</f>
        <v>-3.125E-2</v>
      </c>
      <c r="Q157">
        <f>DataTable[[#This Row],[Manufacturing Price]]*DataTable[[#This Row],[Units Sold]]</f>
        <v>250440</v>
      </c>
      <c r="R157" s="26">
        <f>DataTable[[#This Row],[COGS]]-DataTable[[#This Row],[MC_US]]</f>
        <v>0</v>
      </c>
      <c r="S157" s="26">
        <f>IF(DataTable[[#This Row],[COGS-MC_US]]&gt;=0,DataTable[[#This Row],[Manufacturing Price]],DataTable[[#This Row],[COGS]]/DataTable[[#This Row],[Units Sold]])</f>
        <v>120</v>
      </c>
    </row>
    <row r="158" spans="1:19" ht="12.75" hidden="1" x14ac:dyDescent="0.2">
      <c r="A158" s="20">
        <v>41518</v>
      </c>
      <c r="B158" t="s">
        <v>398</v>
      </c>
      <c r="C158" t="s">
        <v>393</v>
      </c>
      <c r="D158" t="s">
        <v>305</v>
      </c>
      <c r="E158" t="str">
        <f>VLOOKUP(DataTable[[#This Row],[Country]],Market!B:C,2,FALSE)</f>
        <v>Europe</v>
      </c>
      <c r="F158" s="24">
        <v>260</v>
      </c>
      <c r="G158" s="24">
        <v>119280</v>
      </c>
      <c r="H158" s="24">
        <v>125</v>
      </c>
      <c r="I158" s="27">
        <v>994</v>
      </c>
      <c r="J158" s="24">
        <v>124250</v>
      </c>
      <c r="K158" s="24">
        <v>8697.5</v>
      </c>
      <c r="L158" s="1" t="s">
        <v>124</v>
      </c>
      <c r="M158" s="24">
        <v>115552.5</v>
      </c>
      <c r="N158" s="24">
        <f t="shared" si="2"/>
        <v>-3727.5</v>
      </c>
      <c r="O158" t="str">
        <f>IF(DataTable[[#This Row],[Profit]]/DataTable[[#This Row],[COGS]]*100&gt;20,"Achived","Not Achived")</f>
        <v>Not Achived</v>
      </c>
      <c r="P158" s="25">
        <f>DataTable[[#This Row],[Profit]]/DataTable[[#This Row],[COGS]]</f>
        <v>-3.125E-2</v>
      </c>
      <c r="Q158">
        <f>DataTable[[#This Row],[Manufacturing Price]]*DataTable[[#This Row],[Units Sold]]</f>
        <v>258440</v>
      </c>
      <c r="R158" s="26">
        <f>DataTable[[#This Row],[COGS]]-DataTable[[#This Row],[MC_US]]</f>
        <v>-139160</v>
      </c>
      <c r="S158" s="26">
        <f>IF(DataTable[[#This Row],[COGS-MC_US]]&gt;=0,DataTable[[#This Row],[Manufacturing Price]],DataTable[[#This Row],[COGS]]/DataTable[[#This Row],[Units Sold]])</f>
        <v>120</v>
      </c>
    </row>
    <row r="159" spans="1:19" ht="12.75" x14ac:dyDescent="0.2">
      <c r="A159" s="20">
        <v>41640</v>
      </c>
      <c r="B159" t="s">
        <v>398</v>
      </c>
      <c r="C159" t="s">
        <v>393</v>
      </c>
      <c r="D159" t="s">
        <v>305</v>
      </c>
      <c r="E159" t="str">
        <f>VLOOKUP(DataTable[[#This Row],[Country]],Market!B:C,2,FALSE)</f>
        <v>Europe</v>
      </c>
      <c r="F159" s="24">
        <v>260</v>
      </c>
      <c r="G159" s="24">
        <v>379800</v>
      </c>
      <c r="H159" s="24">
        <v>125</v>
      </c>
      <c r="I159" s="27">
        <v>3165</v>
      </c>
      <c r="J159" s="24">
        <v>395625</v>
      </c>
      <c r="K159" s="24">
        <v>43518.75</v>
      </c>
      <c r="L159" s="1" t="s">
        <v>158</v>
      </c>
      <c r="M159" s="24">
        <v>352106.25</v>
      </c>
      <c r="N159" s="24">
        <f t="shared" si="2"/>
        <v>-27693.75</v>
      </c>
      <c r="O159" t="str">
        <f>IF(DataTable[[#This Row],[Profit]]/DataTable[[#This Row],[COGS]]*100&gt;20,"Achived","Not Achived")</f>
        <v>Not Achived</v>
      </c>
      <c r="P159" s="25">
        <f>DataTable[[#This Row],[Profit]]/DataTable[[#This Row],[COGS]]</f>
        <v>-7.2916666666666671E-2</v>
      </c>
      <c r="Q159">
        <f>DataTable[[#This Row],[Manufacturing Price]]*DataTable[[#This Row],[Units Sold]]</f>
        <v>822900</v>
      </c>
      <c r="R159" s="26">
        <f>DataTable[[#This Row],[COGS]]-DataTable[[#This Row],[MC_US]]</f>
        <v>-443100</v>
      </c>
      <c r="S159" s="26">
        <f>IF(DataTable[[#This Row],[COGS-MC_US]]&gt;=0,DataTable[[#This Row],[Manufacturing Price]],DataTable[[#This Row],[COGS]]/DataTable[[#This Row],[Units Sold]])</f>
        <v>120</v>
      </c>
    </row>
    <row r="160" spans="1:19" ht="12.75" x14ac:dyDescent="0.2">
      <c r="A160" s="20">
        <v>41852</v>
      </c>
      <c r="B160" t="s">
        <v>389</v>
      </c>
      <c r="C160" t="s">
        <v>393</v>
      </c>
      <c r="D160" t="s">
        <v>305</v>
      </c>
      <c r="E160" t="str">
        <f>VLOOKUP(DataTable[[#This Row],[Country]],Market!B:C,2,FALSE)</f>
        <v>Europe</v>
      </c>
      <c r="F160" s="24">
        <v>3</v>
      </c>
      <c r="G160" s="24">
        <v>332040</v>
      </c>
      <c r="H160" s="24">
        <v>125</v>
      </c>
      <c r="I160" s="27">
        <v>2767</v>
      </c>
      <c r="J160" s="24">
        <v>345875</v>
      </c>
      <c r="K160" s="24">
        <v>51881.25</v>
      </c>
      <c r="L160" s="1" t="s">
        <v>158</v>
      </c>
      <c r="M160" s="24">
        <v>293993.75</v>
      </c>
      <c r="N160" s="24">
        <f t="shared" si="2"/>
        <v>-38046.25</v>
      </c>
      <c r="O160" t="str">
        <f>IF(DataTable[[#This Row],[Profit]]/DataTable[[#This Row],[COGS]]*100&gt;20,"Achived","Not Achived")</f>
        <v>Not Achived</v>
      </c>
      <c r="P160" s="25">
        <f>DataTable[[#This Row],[Profit]]/DataTable[[#This Row],[COGS]]</f>
        <v>-0.11458333333333333</v>
      </c>
      <c r="Q160">
        <f>DataTable[[#This Row],[Manufacturing Price]]*DataTable[[#This Row],[Units Sold]]</f>
        <v>8301</v>
      </c>
      <c r="R160" s="26">
        <f>DataTable[[#This Row],[COGS]]-DataTable[[#This Row],[MC_US]]</f>
        <v>323739</v>
      </c>
      <c r="S160" s="26">
        <f>IF(DataTable[[#This Row],[COGS-MC_US]]&gt;=0,DataTable[[#This Row],[Manufacturing Price]],DataTable[[#This Row],[COGS]]/DataTable[[#This Row],[Units Sold]])</f>
        <v>3</v>
      </c>
    </row>
    <row r="161" spans="1:19" ht="12.75" x14ac:dyDescent="0.2">
      <c r="A161" s="20">
        <v>41913</v>
      </c>
      <c r="B161" t="s">
        <v>389</v>
      </c>
      <c r="C161" t="s">
        <v>393</v>
      </c>
      <c r="D161" t="s">
        <v>305</v>
      </c>
      <c r="E161" t="str">
        <f>VLOOKUP(DataTable[[#This Row],[Country]],Market!B:C,2,FALSE)</f>
        <v>Europe</v>
      </c>
      <c r="F161" s="24">
        <v>3</v>
      </c>
      <c r="G161" s="24">
        <v>130200</v>
      </c>
      <c r="H161" s="24">
        <v>125</v>
      </c>
      <c r="I161" s="27">
        <v>1085</v>
      </c>
      <c r="J161" s="24">
        <v>135625</v>
      </c>
      <c r="K161" s="24">
        <v>20343.75</v>
      </c>
      <c r="L161" s="1" t="s">
        <v>158</v>
      </c>
      <c r="M161" s="24">
        <v>115281.25</v>
      </c>
      <c r="N161" s="24">
        <f t="shared" si="2"/>
        <v>-14918.75</v>
      </c>
      <c r="O161" t="str">
        <f>IF(DataTable[[#This Row],[Profit]]/DataTable[[#This Row],[COGS]]*100&gt;20,"Achived","Not Achived")</f>
        <v>Not Achived</v>
      </c>
      <c r="P161" s="25">
        <f>DataTable[[#This Row],[Profit]]/DataTable[[#This Row],[COGS]]</f>
        <v>-0.11458333333333333</v>
      </c>
      <c r="Q161">
        <f>DataTable[[#This Row],[Manufacturing Price]]*DataTable[[#This Row],[Units Sold]]</f>
        <v>3255</v>
      </c>
      <c r="R161" s="26">
        <f>DataTable[[#This Row],[COGS]]-DataTable[[#This Row],[MC_US]]</f>
        <v>126945</v>
      </c>
      <c r="S161" s="26">
        <f>IF(DataTable[[#This Row],[COGS-MC_US]]&gt;=0,DataTable[[#This Row],[Manufacturing Price]],DataTable[[#This Row],[COGS]]/DataTable[[#This Row],[Units Sold]])</f>
        <v>3</v>
      </c>
    </row>
    <row r="162" spans="1:19" ht="12.75" x14ac:dyDescent="0.2">
      <c r="A162" s="20">
        <v>41913</v>
      </c>
      <c r="B162" t="s">
        <v>395</v>
      </c>
      <c r="C162" t="s">
        <v>393</v>
      </c>
      <c r="D162" t="s">
        <v>305</v>
      </c>
      <c r="E162" t="str">
        <f>VLOOKUP(DataTable[[#This Row],[Country]],Market!B:C,2,FALSE)</f>
        <v>Europe</v>
      </c>
      <c r="F162" s="24">
        <v>10</v>
      </c>
      <c r="G162" s="24">
        <v>130200</v>
      </c>
      <c r="H162" s="24">
        <v>125</v>
      </c>
      <c r="I162" s="27">
        <v>1085</v>
      </c>
      <c r="J162" s="24">
        <v>135625</v>
      </c>
      <c r="K162" s="24">
        <v>20343.75</v>
      </c>
      <c r="L162" s="1" t="s">
        <v>158</v>
      </c>
      <c r="M162" s="24">
        <v>115281.25</v>
      </c>
      <c r="N162" s="24">
        <f t="shared" si="2"/>
        <v>-14918.75</v>
      </c>
      <c r="O162" t="str">
        <f>IF(DataTable[[#This Row],[Profit]]/DataTable[[#This Row],[COGS]]*100&gt;20,"Achived","Not Achived")</f>
        <v>Not Achived</v>
      </c>
      <c r="P162" s="25">
        <f>DataTable[[#This Row],[Profit]]/DataTable[[#This Row],[COGS]]</f>
        <v>-0.11458333333333333</v>
      </c>
      <c r="Q162">
        <f>DataTable[[#This Row],[Manufacturing Price]]*DataTable[[#This Row],[Units Sold]]</f>
        <v>10850</v>
      </c>
      <c r="R162" s="26">
        <f>DataTable[[#This Row],[COGS]]-DataTable[[#This Row],[MC_US]]</f>
        <v>119350</v>
      </c>
      <c r="S162" s="26">
        <f>IF(DataTable[[#This Row],[COGS-MC_US]]&gt;=0,DataTable[[#This Row],[Manufacturing Price]],DataTable[[#This Row],[COGS]]/DataTable[[#This Row],[Units Sold]])</f>
        <v>10</v>
      </c>
    </row>
    <row r="163" spans="1:19" ht="12.75" x14ac:dyDescent="0.2">
      <c r="A163" s="20">
        <v>41944</v>
      </c>
      <c r="B163" t="s">
        <v>397</v>
      </c>
      <c r="C163" t="s">
        <v>393</v>
      </c>
      <c r="D163" t="s">
        <v>305</v>
      </c>
      <c r="E163" t="str">
        <f>VLOOKUP(DataTable[[#This Row],[Country]],Market!B:C,2,FALSE)</f>
        <v>Europe</v>
      </c>
      <c r="F163" s="24">
        <v>250</v>
      </c>
      <c r="G163" s="24">
        <v>66240</v>
      </c>
      <c r="H163" s="24">
        <v>125</v>
      </c>
      <c r="I163" s="27">
        <v>552</v>
      </c>
      <c r="J163" s="24">
        <v>69000</v>
      </c>
      <c r="K163" s="24">
        <v>10350</v>
      </c>
      <c r="L163" s="1" t="s">
        <v>158</v>
      </c>
      <c r="M163" s="24">
        <v>58650</v>
      </c>
      <c r="N163" s="24">
        <f t="shared" si="2"/>
        <v>-7590</v>
      </c>
      <c r="O163" t="str">
        <f>IF(DataTable[[#This Row],[Profit]]/DataTable[[#This Row],[COGS]]*100&gt;20,"Achived","Not Achived")</f>
        <v>Not Achived</v>
      </c>
      <c r="P163" s="25">
        <f>DataTable[[#This Row],[Profit]]/DataTable[[#This Row],[COGS]]</f>
        <v>-0.11458333333333333</v>
      </c>
      <c r="Q163">
        <f>DataTable[[#This Row],[Manufacturing Price]]*DataTable[[#This Row],[Units Sold]]</f>
        <v>138000</v>
      </c>
      <c r="R163" s="26">
        <f>DataTable[[#This Row],[COGS]]-DataTable[[#This Row],[MC_US]]</f>
        <v>-71760</v>
      </c>
      <c r="S163" s="26">
        <f>IF(DataTable[[#This Row],[COGS-MC_US]]&gt;=0,DataTable[[#This Row],[Manufacturing Price]],DataTable[[#This Row],[COGS]]/DataTable[[#This Row],[Units Sold]])</f>
        <v>120</v>
      </c>
    </row>
    <row r="164" spans="1:19" ht="12.75" hidden="1" x14ac:dyDescent="0.2">
      <c r="A164" s="20">
        <v>41671</v>
      </c>
      <c r="B164" t="s">
        <v>396</v>
      </c>
      <c r="C164" t="s">
        <v>393</v>
      </c>
      <c r="D164" t="s">
        <v>304</v>
      </c>
      <c r="E164" t="str">
        <f>VLOOKUP(DataTable[[#This Row],[Country]],Market!B:C,2,FALSE)</f>
        <v>Europe</v>
      </c>
      <c r="F164" s="24">
        <v>120</v>
      </c>
      <c r="G164" s="24">
        <v>216480</v>
      </c>
      <c r="H164" s="24">
        <v>125</v>
      </c>
      <c r="I164" s="27">
        <v>1804</v>
      </c>
      <c r="J164" s="24">
        <v>225500</v>
      </c>
      <c r="K164" s="24">
        <v>0</v>
      </c>
      <c r="L164" s="1" t="s">
        <v>12</v>
      </c>
      <c r="M164" s="24">
        <v>225500</v>
      </c>
      <c r="N164" s="24">
        <f t="shared" si="2"/>
        <v>9020</v>
      </c>
      <c r="O164" t="str">
        <f>IF(DataTable[[#This Row],[Profit]]/DataTable[[#This Row],[COGS]]*100&gt;20,"Achived","Not Achived")</f>
        <v>Not Achived</v>
      </c>
      <c r="P164" s="25">
        <f>DataTable[[#This Row],[Profit]]/DataTable[[#This Row],[COGS]]</f>
        <v>4.1666666666666664E-2</v>
      </c>
      <c r="Q164">
        <f>DataTable[[#This Row],[Manufacturing Price]]*DataTable[[#This Row],[Units Sold]]</f>
        <v>216480</v>
      </c>
      <c r="R164" s="26">
        <f>DataTable[[#This Row],[COGS]]-DataTable[[#This Row],[MC_US]]</f>
        <v>0</v>
      </c>
      <c r="S164" s="26">
        <f>IF(DataTable[[#This Row],[COGS-MC_US]]&gt;=0,DataTable[[#This Row],[Manufacturing Price]],DataTable[[#This Row],[COGS]]/DataTable[[#This Row],[Units Sold]])</f>
        <v>120</v>
      </c>
    </row>
    <row r="165" spans="1:19" ht="12.75" hidden="1" x14ac:dyDescent="0.2">
      <c r="A165" s="20">
        <v>41791</v>
      </c>
      <c r="B165" t="s">
        <v>395</v>
      </c>
      <c r="C165" t="s">
        <v>393</v>
      </c>
      <c r="D165" t="s">
        <v>304</v>
      </c>
      <c r="E165" t="str">
        <f>VLOOKUP(DataTable[[#This Row],[Country]],Market!B:C,2,FALSE)</f>
        <v>Europe</v>
      </c>
      <c r="F165" s="24">
        <v>10</v>
      </c>
      <c r="G165" s="24">
        <v>94440</v>
      </c>
      <c r="H165" s="24">
        <v>125</v>
      </c>
      <c r="I165" s="27">
        <v>787</v>
      </c>
      <c r="J165" s="24">
        <v>98375</v>
      </c>
      <c r="K165" s="24">
        <v>983.75</v>
      </c>
      <c r="L165" s="1" t="s">
        <v>57</v>
      </c>
      <c r="M165" s="24">
        <v>97391.25</v>
      </c>
      <c r="N165" s="24">
        <f t="shared" si="2"/>
        <v>2951.25</v>
      </c>
      <c r="O165" t="str">
        <f>IF(DataTable[[#This Row],[Profit]]/DataTable[[#This Row],[COGS]]*100&gt;20,"Achived","Not Achived")</f>
        <v>Not Achived</v>
      </c>
      <c r="P165" s="25">
        <f>DataTable[[#This Row],[Profit]]/DataTable[[#This Row],[COGS]]</f>
        <v>3.125E-2</v>
      </c>
      <c r="Q165">
        <f>DataTable[[#This Row],[Manufacturing Price]]*DataTable[[#This Row],[Units Sold]]</f>
        <v>7870</v>
      </c>
      <c r="R165" s="26">
        <f>DataTable[[#This Row],[COGS]]-DataTable[[#This Row],[MC_US]]</f>
        <v>86570</v>
      </c>
      <c r="S165" s="26">
        <f>IF(DataTable[[#This Row],[COGS-MC_US]]&gt;=0,DataTable[[#This Row],[Manufacturing Price]],DataTable[[#This Row],[COGS]]/DataTable[[#This Row],[Units Sold]])</f>
        <v>10</v>
      </c>
    </row>
    <row r="166" spans="1:19" ht="12.75" hidden="1" x14ac:dyDescent="0.2">
      <c r="A166" s="20">
        <v>41791</v>
      </c>
      <c r="B166" t="s">
        <v>397</v>
      </c>
      <c r="C166" t="s">
        <v>393</v>
      </c>
      <c r="D166" t="s">
        <v>304</v>
      </c>
      <c r="E166" t="str">
        <f>VLOOKUP(DataTable[[#This Row],[Country]],Market!B:C,2,FALSE)</f>
        <v>Europe</v>
      </c>
      <c r="F166" s="24">
        <v>250</v>
      </c>
      <c r="G166" s="24">
        <v>94440</v>
      </c>
      <c r="H166" s="24">
        <v>125</v>
      </c>
      <c r="I166" s="27">
        <v>787</v>
      </c>
      <c r="J166" s="24">
        <v>98375</v>
      </c>
      <c r="K166" s="24">
        <v>983.75</v>
      </c>
      <c r="L166" s="1" t="s">
        <v>57</v>
      </c>
      <c r="M166" s="24">
        <v>97391.25</v>
      </c>
      <c r="N166" s="24">
        <f t="shared" si="2"/>
        <v>2951.25</v>
      </c>
      <c r="O166" t="str">
        <f>IF(DataTable[[#This Row],[Profit]]/DataTable[[#This Row],[COGS]]*100&gt;20,"Achived","Not Achived")</f>
        <v>Not Achived</v>
      </c>
      <c r="P166" s="25">
        <f>DataTable[[#This Row],[Profit]]/DataTable[[#This Row],[COGS]]</f>
        <v>3.125E-2</v>
      </c>
      <c r="Q166">
        <f>DataTable[[#This Row],[Manufacturing Price]]*DataTable[[#This Row],[Units Sold]]</f>
        <v>196750</v>
      </c>
      <c r="R166" s="26">
        <f>DataTable[[#This Row],[COGS]]-DataTable[[#This Row],[MC_US]]</f>
        <v>-102310</v>
      </c>
      <c r="S166" s="26">
        <f>IF(DataTable[[#This Row],[COGS-MC_US]]&gt;=0,DataTable[[#This Row],[Manufacturing Price]],DataTable[[#This Row],[COGS]]/DataTable[[#This Row],[Units Sold]])</f>
        <v>120</v>
      </c>
    </row>
    <row r="167" spans="1:19" ht="12.75" hidden="1" x14ac:dyDescent="0.2">
      <c r="A167" s="20">
        <v>41944</v>
      </c>
      <c r="B167" t="s">
        <v>397</v>
      </c>
      <c r="C167" t="s">
        <v>393</v>
      </c>
      <c r="D167" t="s">
        <v>304</v>
      </c>
      <c r="E167" t="str">
        <f>VLOOKUP(DataTable[[#This Row],[Country]],Market!B:C,2,FALSE)</f>
        <v>Europe</v>
      </c>
      <c r="F167" s="24">
        <v>250</v>
      </c>
      <c r="G167" s="24">
        <v>209280</v>
      </c>
      <c r="H167" s="24">
        <v>125</v>
      </c>
      <c r="I167" s="27">
        <v>1744</v>
      </c>
      <c r="J167" s="24">
        <v>218000</v>
      </c>
      <c r="K167" s="24">
        <v>2180</v>
      </c>
      <c r="L167" s="1" t="s">
        <v>57</v>
      </c>
      <c r="M167" s="24">
        <v>215820</v>
      </c>
      <c r="N167" s="24">
        <f t="shared" si="2"/>
        <v>6540</v>
      </c>
      <c r="O167" t="str">
        <f>IF(DataTable[[#This Row],[Profit]]/DataTable[[#This Row],[COGS]]*100&gt;20,"Achived","Not Achived")</f>
        <v>Not Achived</v>
      </c>
      <c r="P167" s="25">
        <f>DataTable[[#This Row],[Profit]]/DataTable[[#This Row],[COGS]]</f>
        <v>3.125E-2</v>
      </c>
      <c r="Q167">
        <f>DataTable[[#This Row],[Manufacturing Price]]*DataTable[[#This Row],[Units Sold]]</f>
        <v>436000</v>
      </c>
      <c r="R167" s="26">
        <f>DataTable[[#This Row],[COGS]]-DataTable[[#This Row],[MC_US]]</f>
        <v>-226720</v>
      </c>
      <c r="S167" s="26">
        <f>IF(DataTable[[#This Row],[COGS-MC_US]]&gt;=0,DataTable[[#This Row],[Manufacturing Price]],DataTable[[#This Row],[COGS]]/DataTable[[#This Row],[Units Sold]])</f>
        <v>120</v>
      </c>
    </row>
    <row r="168" spans="1:19" ht="12.75" hidden="1" x14ac:dyDescent="0.2">
      <c r="A168" s="20">
        <v>41730</v>
      </c>
      <c r="B168" t="s">
        <v>389</v>
      </c>
      <c r="C168" t="s">
        <v>393</v>
      </c>
      <c r="D168" t="s">
        <v>304</v>
      </c>
      <c r="E168" t="str">
        <f>VLOOKUP(DataTable[[#This Row],[Country]],Market!B:C,2,FALSE)</f>
        <v>Europe</v>
      </c>
      <c r="F168" s="24">
        <v>3</v>
      </c>
      <c r="G168" s="24">
        <v>509220</v>
      </c>
      <c r="H168" s="24">
        <v>125</v>
      </c>
      <c r="I168" s="27">
        <v>4243.5</v>
      </c>
      <c r="J168" s="24">
        <v>530437.5</v>
      </c>
      <c r="K168" s="24">
        <v>15913.13</v>
      </c>
      <c r="L168" s="1" t="s">
        <v>57</v>
      </c>
      <c r="M168" s="24">
        <v>514524.38</v>
      </c>
      <c r="N168" s="24">
        <f t="shared" si="2"/>
        <v>5304.3800000000047</v>
      </c>
      <c r="O168" t="str">
        <f>IF(DataTable[[#This Row],[Profit]]/DataTable[[#This Row],[COGS]]*100&gt;20,"Achived","Not Achived")</f>
        <v>Not Achived</v>
      </c>
      <c r="P168" s="25">
        <f>DataTable[[#This Row],[Profit]]/DataTable[[#This Row],[COGS]]</f>
        <v>1.0416676485605444E-2</v>
      </c>
      <c r="Q168">
        <f>DataTable[[#This Row],[Manufacturing Price]]*DataTable[[#This Row],[Units Sold]]</f>
        <v>12730.5</v>
      </c>
      <c r="R168" s="26">
        <f>DataTable[[#This Row],[COGS]]-DataTable[[#This Row],[MC_US]]</f>
        <v>496489.5</v>
      </c>
      <c r="S168" s="26">
        <f>IF(DataTable[[#This Row],[COGS-MC_US]]&gt;=0,DataTable[[#This Row],[Manufacturing Price]],DataTable[[#This Row],[COGS]]/DataTable[[#This Row],[Units Sold]])</f>
        <v>3</v>
      </c>
    </row>
    <row r="169" spans="1:19" ht="12.75" hidden="1" x14ac:dyDescent="0.2">
      <c r="A169" s="20">
        <v>41974</v>
      </c>
      <c r="B169" t="s">
        <v>391</v>
      </c>
      <c r="C169" t="s">
        <v>393</v>
      </c>
      <c r="D169" t="s">
        <v>304</v>
      </c>
      <c r="E169" t="str">
        <f>VLOOKUP(DataTable[[#This Row],[Country]],Market!B:C,2,FALSE)</f>
        <v>Europe</v>
      </c>
      <c r="F169" s="24">
        <v>5</v>
      </c>
      <c r="G169" s="24">
        <v>154440</v>
      </c>
      <c r="H169" s="24">
        <v>125</v>
      </c>
      <c r="I169" s="27">
        <v>1287</v>
      </c>
      <c r="J169" s="24">
        <v>160875</v>
      </c>
      <c r="K169" s="24">
        <v>4826.25</v>
      </c>
      <c r="L169" s="1" t="s">
        <v>57</v>
      </c>
      <c r="M169" s="24">
        <v>156048.75</v>
      </c>
      <c r="N169" s="24">
        <f t="shared" si="2"/>
        <v>1608.75</v>
      </c>
      <c r="O169" t="str">
        <f>IF(DataTable[[#This Row],[Profit]]/DataTable[[#This Row],[COGS]]*100&gt;20,"Achived","Not Achived")</f>
        <v>Not Achived</v>
      </c>
      <c r="P169" s="25">
        <f>DataTable[[#This Row],[Profit]]/DataTable[[#This Row],[COGS]]</f>
        <v>1.0416666666666666E-2</v>
      </c>
      <c r="Q169">
        <f>DataTable[[#This Row],[Manufacturing Price]]*DataTable[[#This Row],[Units Sold]]</f>
        <v>6435</v>
      </c>
      <c r="R169" s="26">
        <f>DataTable[[#This Row],[COGS]]-DataTable[[#This Row],[MC_US]]</f>
        <v>148005</v>
      </c>
      <c r="S169" s="26">
        <f>IF(DataTable[[#This Row],[COGS-MC_US]]&gt;=0,DataTable[[#This Row],[Manufacturing Price]],DataTable[[#This Row],[COGS]]/DataTable[[#This Row],[Units Sold]])</f>
        <v>5</v>
      </c>
    </row>
    <row r="170" spans="1:19" ht="12.75" hidden="1" x14ac:dyDescent="0.2">
      <c r="A170" s="20">
        <v>41974</v>
      </c>
      <c r="B170" t="s">
        <v>395</v>
      </c>
      <c r="C170" t="s">
        <v>393</v>
      </c>
      <c r="D170" t="s">
        <v>304</v>
      </c>
      <c r="E170" t="str">
        <f>VLOOKUP(DataTable[[#This Row],[Country]],Market!B:C,2,FALSE)</f>
        <v>Europe</v>
      </c>
      <c r="F170" s="24">
        <v>10</v>
      </c>
      <c r="G170" s="24">
        <v>154440</v>
      </c>
      <c r="H170" s="24">
        <v>125</v>
      </c>
      <c r="I170" s="27">
        <v>1287</v>
      </c>
      <c r="J170" s="24">
        <v>160875</v>
      </c>
      <c r="K170" s="24">
        <v>4826.25</v>
      </c>
      <c r="L170" s="1" t="s">
        <v>57</v>
      </c>
      <c r="M170" s="24">
        <v>156048.75</v>
      </c>
      <c r="N170" s="24">
        <f t="shared" si="2"/>
        <v>1608.75</v>
      </c>
      <c r="O170" t="str">
        <f>IF(DataTable[[#This Row],[Profit]]/DataTable[[#This Row],[COGS]]*100&gt;20,"Achived","Not Achived")</f>
        <v>Not Achived</v>
      </c>
      <c r="P170" s="25">
        <f>DataTable[[#This Row],[Profit]]/DataTable[[#This Row],[COGS]]</f>
        <v>1.0416666666666666E-2</v>
      </c>
      <c r="Q170">
        <f>DataTable[[#This Row],[Manufacturing Price]]*DataTable[[#This Row],[Units Sold]]</f>
        <v>12870</v>
      </c>
      <c r="R170" s="26">
        <f>DataTable[[#This Row],[COGS]]-DataTable[[#This Row],[MC_US]]</f>
        <v>141570</v>
      </c>
      <c r="S170" s="26">
        <f>IF(DataTable[[#This Row],[COGS-MC_US]]&gt;=0,DataTable[[#This Row],[Manufacturing Price]],DataTable[[#This Row],[COGS]]/DataTable[[#This Row],[Units Sold]])</f>
        <v>10</v>
      </c>
    </row>
    <row r="171" spans="1:19" ht="12.75" hidden="1" x14ac:dyDescent="0.2">
      <c r="A171" s="20">
        <v>41821</v>
      </c>
      <c r="B171" t="s">
        <v>395</v>
      </c>
      <c r="C171" t="s">
        <v>393</v>
      </c>
      <c r="D171" t="s">
        <v>304</v>
      </c>
      <c r="E171" t="str">
        <f>VLOOKUP(DataTable[[#This Row],[Country]],Market!B:C,2,FALSE)</f>
        <v>Europe</v>
      </c>
      <c r="F171" s="24">
        <v>10</v>
      </c>
      <c r="G171" s="24">
        <v>358560</v>
      </c>
      <c r="H171" s="24">
        <v>125</v>
      </c>
      <c r="I171" s="27">
        <v>2988</v>
      </c>
      <c r="J171" s="24">
        <v>373500</v>
      </c>
      <c r="K171" s="24">
        <v>14940</v>
      </c>
      <c r="L171" s="1" t="s">
        <v>57</v>
      </c>
      <c r="M171" s="24">
        <v>358560</v>
      </c>
      <c r="N171" s="24">
        <f t="shared" si="2"/>
        <v>0</v>
      </c>
      <c r="O171" t="str">
        <f>IF(DataTable[[#This Row],[Profit]]/DataTable[[#This Row],[COGS]]*100&gt;20,"Achived","Not Achived")</f>
        <v>Not Achived</v>
      </c>
      <c r="P171" s="25">
        <f>DataTable[[#This Row],[Profit]]/DataTable[[#This Row],[COGS]]</f>
        <v>0</v>
      </c>
      <c r="Q171">
        <f>DataTable[[#This Row],[Manufacturing Price]]*DataTable[[#This Row],[Units Sold]]</f>
        <v>29880</v>
      </c>
      <c r="R171" s="26">
        <f>DataTable[[#This Row],[COGS]]-DataTable[[#This Row],[MC_US]]</f>
        <v>328680</v>
      </c>
      <c r="S171" s="26">
        <f>IF(DataTable[[#This Row],[COGS-MC_US]]&gt;=0,DataTable[[#This Row],[Manufacturing Price]],DataTable[[#This Row],[COGS]]/DataTable[[#This Row],[Units Sold]])</f>
        <v>10</v>
      </c>
    </row>
    <row r="172" spans="1:19" ht="12.75" hidden="1" x14ac:dyDescent="0.2">
      <c r="A172" s="20">
        <v>41699</v>
      </c>
      <c r="B172" t="s">
        <v>395</v>
      </c>
      <c r="C172" t="s">
        <v>393</v>
      </c>
      <c r="D172" t="s">
        <v>304</v>
      </c>
      <c r="E172" t="str">
        <f>VLOOKUP(DataTable[[#This Row],[Country]],Market!B:C,2,FALSE)</f>
        <v>Europe</v>
      </c>
      <c r="F172" s="24">
        <v>10</v>
      </c>
      <c r="G172" s="24">
        <v>286200</v>
      </c>
      <c r="H172" s="24">
        <v>125</v>
      </c>
      <c r="I172" s="27">
        <v>2385</v>
      </c>
      <c r="J172" s="24">
        <v>298125</v>
      </c>
      <c r="K172" s="24">
        <v>14906.25</v>
      </c>
      <c r="L172" s="1" t="s">
        <v>124</v>
      </c>
      <c r="M172" s="24">
        <v>283218.75</v>
      </c>
      <c r="N172" s="24">
        <f t="shared" si="2"/>
        <v>-2981.25</v>
      </c>
      <c r="O172" t="str">
        <f>IF(DataTable[[#This Row],[Profit]]/DataTable[[#This Row],[COGS]]*100&gt;20,"Achived","Not Achived")</f>
        <v>Not Achived</v>
      </c>
      <c r="P172" s="25">
        <f>DataTable[[#This Row],[Profit]]/DataTable[[#This Row],[COGS]]</f>
        <v>-1.0416666666666666E-2</v>
      </c>
      <c r="Q172">
        <f>DataTable[[#This Row],[Manufacturing Price]]*DataTable[[#This Row],[Units Sold]]</f>
        <v>23850</v>
      </c>
      <c r="R172" s="26">
        <f>DataTable[[#This Row],[COGS]]-DataTable[[#This Row],[MC_US]]</f>
        <v>262350</v>
      </c>
      <c r="S172" s="26">
        <f>IF(DataTable[[#This Row],[COGS-MC_US]]&gt;=0,DataTable[[#This Row],[Manufacturing Price]],DataTable[[#This Row],[COGS]]/DataTable[[#This Row],[Units Sold]])</f>
        <v>10</v>
      </c>
    </row>
    <row r="173" spans="1:19" ht="12.75" hidden="1" x14ac:dyDescent="0.2">
      <c r="A173" s="20">
        <v>41548</v>
      </c>
      <c r="B173" t="s">
        <v>395</v>
      </c>
      <c r="C173" t="s">
        <v>393</v>
      </c>
      <c r="D173" t="s">
        <v>304</v>
      </c>
      <c r="E173" t="str">
        <f>VLOOKUP(DataTable[[#This Row],[Country]],Market!B:C,2,FALSE)</f>
        <v>Europe</v>
      </c>
      <c r="F173" s="24">
        <v>10</v>
      </c>
      <c r="G173" s="24">
        <v>84480</v>
      </c>
      <c r="H173" s="24">
        <v>125</v>
      </c>
      <c r="I173" s="27">
        <v>704</v>
      </c>
      <c r="J173" s="24">
        <v>88000</v>
      </c>
      <c r="K173" s="24">
        <v>4400</v>
      </c>
      <c r="L173" s="1" t="s">
        <v>124</v>
      </c>
      <c r="M173" s="24">
        <v>83600</v>
      </c>
      <c r="N173" s="24">
        <f t="shared" si="2"/>
        <v>-880</v>
      </c>
      <c r="O173" t="str">
        <f>IF(DataTable[[#This Row],[Profit]]/DataTable[[#This Row],[COGS]]*100&gt;20,"Achived","Not Achived")</f>
        <v>Not Achived</v>
      </c>
      <c r="P173" s="25">
        <f>DataTable[[#This Row],[Profit]]/DataTable[[#This Row],[COGS]]</f>
        <v>-1.0416666666666666E-2</v>
      </c>
      <c r="Q173">
        <f>DataTable[[#This Row],[Manufacturing Price]]*DataTable[[#This Row],[Units Sold]]</f>
        <v>7040</v>
      </c>
      <c r="R173" s="26">
        <f>DataTable[[#This Row],[COGS]]-DataTable[[#This Row],[MC_US]]</f>
        <v>77440</v>
      </c>
      <c r="S173" s="26">
        <f>IF(DataTable[[#This Row],[COGS-MC_US]]&gt;=0,DataTable[[#This Row],[Manufacturing Price]],DataTable[[#This Row],[COGS]]/DataTable[[#This Row],[Units Sold]])</f>
        <v>10</v>
      </c>
    </row>
    <row r="174" spans="1:19" ht="12.75" hidden="1" x14ac:dyDescent="0.2">
      <c r="A174" s="20">
        <v>41548</v>
      </c>
      <c r="B174" t="s">
        <v>396</v>
      </c>
      <c r="C174" t="s">
        <v>393</v>
      </c>
      <c r="D174" t="s">
        <v>304</v>
      </c>
      <c r="E174" t="str">
        <f>VLOOKUP(DataTable[[#This Row],[Country]],Market!B:C,2,FALSE)</f>
        <v>Europe</v>
      </c>
      <c r="F174" s="24">
        <v>120</v>
      </c>
      <c r="G174" s="24">
        <v>84480</v>
      </c>
      <c r="H174" s="24">
        <v>125</v>
      </c>
      <c r="I174" s="27">
        <v>704</v>
      </c>
      <c r="J174" s="24">
        <v>88000</v>
      </c>
      <c r="K174" s="24">
        <v>4400</v>
      </c>
      <c r="L174" s="1" t="s">
        <v>124</v>
      </c>
      <c r="M174" s="24">
        <v>83600</v>
      </c>
      <c r="N174" s="24">
        <f t="shared" si="2"/>
        <v>-880</v>
      </c>
      <c r="O174" t="str">
        <f>IF(DataTable[[#This Row],[Profit]]/DataTable[[#This Row],[COGS]]*100&gt;20,"Achived","Not Achived")</f>
        <v>Not Achived</v>
      </c>
      <c r="P174" s="25">
        <f>DataTable[[#This Row],[Profit]]/DataTable[[#This Row],[COGS]]</f>
        <v>-1.0416666666666666E-2</v>
      </c>
      <c r="Q174">
        <f>DataTable[[#This Row],[Manufacturing Price]]*DataTable[[#This Row],[Units Sold]]</f>
        <v>84480</v>
      </c>
      <c r="R174" s="26">
        <f>DataTable[[#This Row],[COGS]]-DataTable[[#This Row],[MC_US]]</f>
        <v>0</v>
      </c>
      <c r="S174" s="26">
        <f>IF(DataTable[[#This Row],[COGS-MC_US]]&gt;=0,DataTable[[#This Row],[Manufacturing Price]],DataTable[[#This Row],[COGS]]/DataTable[[#This Row],[Units Sold]])</f>
        <v>120</v>
      </c>
    </row>
    <row r="175" spans="1:19" ht="12.75" hidden="1" x14ac:dyDescent="0.2">
      <c r="A175" s="20">
        <v>41640</v>
      </c>
      <c r="B175" t="s">
        <v>398</v>
      </c>
      <c r="C175" t="s">
        <v>393</v>
      </c>
      <c r="D175" t="s">
        <v>304</v>
      </c>
      <c r="E175" t="str">
        <f>VLOOKUP(DataTable[[#This Row],[Country]],Market!B:C,2,FALSE)</f>
        <v>Europe</v>
      </c>
      <c r="F175" s="24">
        <v>260</v>
      </c>
      <c r="G175" s="24">
        <v>238500</v>
      </c>
      <c r="H175" s="24">
        <v>125</v>
      </c>
      <c r="I175" s="27">
        <v>1987.5</v>
      </c>
      <c r="J175" s="24">
        <v>248437.5</v>
      </c>
      <c r="K175" s="24">
        <v>14906.25</v>
      </c>
      <c r="L175" s="1" t="s">
        <v>124</v>
      </c>
      <c r="M175" s="24">
        <v>233531.25</v>
      </c>
      <c r="N175" s="24">
        <f t="shared" si="2"/>
        <v>-4968.75</v>
      </c>
      <c r="O175" t="str">
        <f>IF(DataTable[[#This Row],[Profit]]/DataTable[[#This Row],[COGS]]*100&gt;20,"Achived","Not Achived")</f>
        <v>Not Achived</v>
      </c>
      <c r="P175" s="25">
        <f>DataTable[[#This Row],[Profit]]/DataTable[[#This Row],[COGS]]</f>
        <v>-2.0833333333333332E-2</v>
      </c>
      <c r="Q175">
        <f>DataTable[[#This Row],[Manufacturing Price]]*DataTable[[#This Row],[Units Sold]]</f>
        <v>516750</v>
      </c>
      <c r="R175" s="26">
        <f>DataTable[[#This Row],[COGS]]-DataTable[[#This Row],[MC_US]]</f>
        <v>-278250</v>
      </c>
      <c r="S175" s="26">
        <f>IF(DataTable[[#This Row],[COGS-MC_US]]&gt;=0,DataTable[[#This Row],[Manufacturing Price]],DataTable[[#This Row],[COGS]]/DataTable[[#This Row],[Units Sold]])</f>
        <v>120</v>
      </c>
    </row>
    <row r="176" spans="1:19" ht="12.75" hidden="1" x14ac:dyDescent="0.2">
      <c r="A176" s="20">
        <v>41579</v>
      </c>
      <c r="B176" t="s">
        <v>391</v>
      </c>
      <c r="C176" t="s">
        <v>393</v>
      </c>
      <c r="D176" t="s">
        <v>304</v>
      </c>
      <c r="E176" t="str">
        <f>VLOOKUP(DataTable[[#This Row],[Country]],Market!B:C,2,FALSE)</f>
        <v>Europe</v>
      </c>
      <c r="F176" s="24">
        <v>5</v>
      </c>
      <c r="G176" s="24">
        <v>222840</v>
      </c>
      <c r="H176" s="24">
        <v>125</v>
      </c>
      <c r="I176" s="27">
        <v>1857</v>
      </c>
      <c r="J176" s="24">
        <v>232125</v>
      </c>
      <c r="K176" s="24">
        <v>20891.25</v>
      </c>
      <c r="L176" s="1" t="s">
        <v>124</v>
      </c>
      <c r="M176" s="24">
        <v>211233.75</v>
      </c>
      <c r="N176" s="24">
        <f t="shared" si="2"/>
        <v>-11606.25</v>
      </c>
      <c r="O176" t="str">
        <f>IF(DataTable[[#This Row],[Profit]]/DataTable[[#This Row],[COGS]]*100&gt;20,"Achived","Not Achived")</f>
        <v>Not Achived</v>
      </c>
      <c r="P176" s="25">
        <f>DataTable[[#This Row],[Profit]]/DataTable[[#This Row],[COGS]]</f>
        <v>-5.2083333333333336E-2</v>
      </c>
      <c r="Q176">
        <f>DataTable[[#This Row],[Manufacturing Price]]*DataTable[[#This Row],[Units Sold]]</f>
        <v>9285</v>
      </c>
      <c r="R176" s="26">
        <f>DataTable[[#This Row],[COGS]]-DataTable[[#This Row],[MC_US]]</f>
        <v>213555</v>
      </c>
      <c r="S176" s="26">
        <f>IF(DataTable[[#This Row],[COGS-MC_US]]&gt;=0,DataTable[[#This Row],[Manufacturing Price]],DataTable[[#This Row],[COGS]]/DataTable[[#This Row],[Units Sold]])</f>
        <v>5</v>
      </c>
    </row>
    <row r="177" spans="1:19" ht="12.75" x14ac:dyDescent="0.2">
      <c r="A177" s="20">
        <v>41609</v>
      </c>
      <c r="B177" t="s">
        <v>389</v>
      </c>
      <c r="C177" t="s">
        <v>393</v>
      </c>
      <c r="D177" t="s">
        <v>304</v>
      </c>
      <c r="E177" t="str">
        <f>VLOOKUP(DataTable[[#This Row],[Country]],Market!B:C,2,FALSE)</f>
        <v>Europe</v>
      </c>
      <c r="F177" s="24">
        <v>3</v>
      </c>
      <c r="G177" s="24">
        <v>177840</v>
      </c>
      <c r="H177" s="24">
        <v>125</v>
      </c>
      <c r="I177" s="27">
        <v>1482</v>
      </c>
      <c r="J177" s="24">
        <v>185250</v>
      </c>
      <c r="K177" s="24">
        <v>18525</v>
      </c>
      <c r="L177" s="1" t="s">
        <v>158</v>
      </c>
      <c r="M177" s="24">
        <v>166725</v>
      </c>
      <c r="N177" s="24">
        <f t="shared" si="2"/>
        <v>-11115</v>
      </c>
      <c r="O177" t="str">
        <f>IF(DataTable[[#This Row],[Profit]]/DataTable[[#This Row],[COGS]]*100&gt;20,"Achived","Not Achived")</f>
        <v>Not Achived</v>
      </c>
      <c r="P177" s="25">
        <f>DataTable[[#This Row],[Profit]]/DataTable[[#This Row],[COGS]]</f>
        <v>-6.25E-2</v>
      </c>
      <c r="Q177">
        <f>DataTable[[#This Row],[Manufacturing Price]]*DataTable[[#This Row],[Units Sold]]</f>
        <v>4446</v>
      </c>
      <c r="R177" s="26">
        <f>DataTable[[#This Row],[COGS]]-DataTable[[#This Row],[MC_US]]</f>
        <v>173394</v>
      </c>
      <c r="S177" s="26">
        <f>IF(DataTable[[#This Row],[COGS-MC_US]]&gt;=0,DataTable[[#This Row],[Manufacturing Price]],DataTable[[#This Row],[COGS]]/DataTable[[#This Row],[Units Sold]])</f>
        <v>3</v>
      </c>
    </row>
    <row r="178" spans="1:19" ht="12.75" x14ac:dyDescent="0.2">
      <c r="A178" s="20">
        <v>41913</v>
      </c>
      <c r="B178" t="s">
        <v>389</v>
      </c>
      <c r="C178" t="s">
        <v>393</v>
      </c>
      <c r="D178" t="s">
        <v>304</v>
      </c>
      <c r="E178" t="str">
        <f>VLOOKUP(DataTable[[#This Row],[Country]],Market!B:C,2,FALSE)</f>
        <v>Europe</v>
      </c>
      <c r="F178" s="24">
        <v>3</v>
      </c>
      <c r="G178" s="24">
        <v>292920</v>
      </c>
      <c r="H178" s="24">
        <v>125</v>
      </c>
      <c r="I178" s="27">
        <v>2441</v>
      </c>
      <c r="J178" s="24">
        <v>305125</v>
      </c>
      <c r="K178" s="24">
        <v>33563.75</v>
      </c>
      <c r="L178" s="1" t="s">
        <v>158</v>
      </c>
      <c r="M178" s="24">
        <v>271561.25</v>
      </c>
      <c r="N178" s="24">
        <f t="shared" si="2"/>
        <v>-21358.75</v>
      </c>
      <c r="O178" t="str">
        <f>IF(DataTable[[#This Row],[Profit]]/DataTable[[#This Row],[COGS]]*100&gt;20,"Achived","Not Achived")</f>
        <v>Not Achived</v>
      </c>
      <c r="P178" s="25">
        <f>DataTable[[#This Row],[Profit]]/DataTable[[#This Row],[COGS]]</f>
        <v>-7.2916666666666671E-2</v>
      </c>
      <c r="Q178">
        <f>DataTable[[#This Row],[Manufacturing Price]]*DataTable[[#This Row],[Units Sold]]</f>
        <v>7323</v>
      </c>
      <c r="R178" s="26">
        <f>DataTable[[#This Row],[COGS]]-DataTable[[#This Row],[MC_US]]</f>
        <v>285597</v>
      </c>
      <c r="S178" s="26">
        <f>IF(DataTable[[#This Row],[COGS-MC_US]]&gt;=0,DataTable[[#This Row],[Manufacturing Price]],DataTable[[#This Row],[COGS]]/DataTable[[#This Row],[Units Sold]])</f>
        <v>3</v>
      </c>
    </row>
    <row r="179" spans="1:19" ht="12.75" x14ac:dyDescent="0.2">
      <c r="A179" s="20">
        <v>41913</v>
      </c>
      <c r="B179" t="s">
        <v>395</v>
      </c>
      <c r="C179" t="s">
        <v>393</v>
      </c>
      <c r="D179" t="s">
        <v>304</v>
      </c>
      <c r="E179" t="str">
        <f>VLOOKUP(DataTable[[#This Row],[Country]],Market!B:C,2,FALSE)</f>
        <v>Europe</v>
      </c>
      <c r="F179" s="24">
        <v>10</v>
      </c>
      <c r="G179" s="24">
        <v>292920</v>
      </c>
      <c r="H179" s="24">
        <v>125</v>
      </c>
      <c r="I179" s="27">
        <v>2441</v>
      </c>
      <c r="J179" s="24">
        <v>305125</v>
      </c>
      <c r="K179" s="24">
        <v>33563.75</v>
      </c>
      <c r="L179" s="1" t="s">
        <v>158</v>
      </c>
      <c r="M179" s="24">
        <v>271561.25</v>
      </c>
      <c r="N179" s="24">
        <f t="shared" si="2"/>
        <v>-21358.75</v>
      </c>
      <c r="O179" t="str">
        <f>IF(DataTable[[#This Row],[Profit]]/DataTable[[#This Row],[COGS]]*100&gt;20,"Achived","Not Achived")</f>
        <v>Not Achived</v>
      </c>
      <c r="P179" s="25">
        <f>DataTable[[#This Row],[Profit]]/DataTable[[#This Row],[COGS]]</f>
        <v>-7.2916666666666671E-2</v>
      </c>
      <c r="Q179">
        <f>DataTable[[#This Row],[Manufacturing Price]]*DataTable[[#This Row],[Units Sold]]</f>
        <v>24410</v>
      </c>
      <c r="R179" s="26">
        <f>DataTable[[#This Row],[COGS]]-DataTable[[#This Row],[MC_US]]</f>
        <v>268510</v>
      </c>
      <c r="S179" s="26">
        <f>IF(DataTable[[#This Row],[COGS-MC_US]]&gt;=0,DataTable[[#This Row],[Manufacturing Price]],DataTable[[#This Row],[COGS]]/DataTable[[#This Row],[Units Sold]])</f>
        <v>10</v>
      </c>
    </row>
    <row r="180" spans="1:19" ht="12.75" x14ac:dyDescent="0.2">
      <c r="A180" s="20">
        <v>41760</v>
      </c>
      <c r="B180" t="s">
        <v>398</v>
      </c>
      <c r="C180" t="s">
        <v>393</v>
      </c>
      <c r="D180" t="s">
        <v>304</v>
      </c>
      <c r="E180" t="str">
        <f>VLOOKUP(DataTable[[#This Row],[Country]],Market!B:C,2,FALSE)</f>
        <v>Europe</v>
      </c>
      <c r="F180" s="24">
        <v>260</v>
      </c>
      <c r="G180" s="24">
        <v>171960</v>
      </c>
      <c r="H180" s="24">
        <v>125</v>
      </c>
      <c r="I180" s="27">
        <v>1433</v>
      </c>
      <c r="J180" s="24">
        <v>179125</v>
      </c>
      <c r="K180" s="24">
        <v>19703.75</v>
      </c>
      <c r="L180" s="1" t="s">
        <v>158</v>
      </c>
      <c r="M180" s="24">
        <v>159421.25</v>
      </c>
      <c r="N180" s="24">
        <f t="shared" si="2"/>
        <v>-12538.75</v>
      </c>
      <c r="O180" t="str">
        <f>IF(DataTable[[#This Row],[Profit]]/DataTable[[#This Row],[COGS]]*100&gt;20,"Achived","Not Achived")</f>
        <v>Not Achived</v>
      </c>
      <c r="P180" s="25">
        <f>DataTable[[#This Row],[Profit]]/DataTable[[#This Row],[COGS]]</f>
        <v>-7.2916666666666671E-2</v>
      </c>
      <c r="Q180">
        <f>DataTable[[#This Row],[Manufacturing Price]]*DataTable[[#This Row],[Units Sold]]</f>
        <v>372580</v>
      </c>
      <c r="R180" s="26">
        <f>DataTable[[#This Row],[COGS]]-DataTable[[#This Row],[MC_US]]</f>
        <v>-200620</v>
      </c>
      <c r="S180" s="26">
        <f>IF(DataTable[[#This Row],[COGS-MC_US]]&gt;=0,DataTable[[#This Row],[Manufacturing Price]],DataTable[[#This Row],[COGS]]/DataTable[[#This Row],[Units Sold]])</f>
        <v>120</v>
      </c>
    </row>
    <row r="181" spans="1:19" ht="12.75" x14ac:dyDescent="0.2">
      <c r="A181" s="20">
        <v>41518</v>
      </c>
      <c r="B181" t="s">
        <v>389</v>
      </c>
      <c r="C181" t="s">
        <v>393</v>
      </c>
      <c r="D181" t="s">
        <v>304</v>
      </c>
      <c r="E181" t="str">
        <f>VLOOKUP(DataTable[[#This Row],[Country]],Market!B:C,2,FALSE)</f>
        <v>Europe</v>
      </c>
      <c r="F181" s="24">
        <v>3</v>
      </c>
      <c r="G181" s="24">
        <v>122760</v>
      </c>
      <c r="H181" s="24">
        <v>125</v>
      </c>
      <c r="I181" s="27">
        <v>1023</v>
      </c>
      <c r="J181" s="24">
        <v>127875</v>
      </c>
      <c r="K181" s="24">
        <v>17902.5</v>
      </c>
      <c r="L181" s="1" t="s">
        <v>158</v>
      </c>
      <c r="M181" s="24">
        <v>109972.5</v>
      </c>
      <c r="N181" s="24">
        <f t="shared" si="2"/>
        <v>-12787.5</v>
      </c>
      <c r="O181" t="str">
        <f>IF(DataTable[[#This Row],[Profit]]/DataTable[[#This Row],[COGS]]*100&gt;20,"Achived","Not Achived")</f>
        <v>Not Achived</v>
      </c>
      <c r="P181" s="25">
        <f>DataTable[[#This Row],[Profit]]/DataTable[[#This Row],[COGS]]</f>
        <v>-0.10416666666666667</v>
      </c>
      <c r="Q181">
        <f>DataTable[[#This Row],[Manufacturing Price]]*DataTable[[#This Row],[Units Sold]]</f>
        <v>3069</v>
      </c>
      <c r="R181" s="26">
        <f>DataTable[[#This Row],[COGS]]-DataTable[[#This Row],[MC_US]]</f>
        <v>119691</v>
      </c>
      <c r="S181" s="26">
        <f>IF(DataTable[[#This Row],[COGS-MC_US]]&gt;=0,DataTable[[#This Row],[Manufacturing Price]],DataTable[[#This Row],[COGS]]/DataTable[[#This Row],[Units Sold]])</f>
        <v>3</v>
      </c>
    </row>
    <row r="182" spans="1:19" ht="12.75" x14ac:dyDescent="0.2">
      <c r="A182" s="20">
        <v>41852</v>
      </c>
      <c r="B182" t="s">
        <v>389</v>
      </c>
      <c r="C182" t="s">
        <v>393</v>
      </c>
      <c r="D182" t="s">
        <v>304</v>
      </c>
      <c r="E182" t="str">
        <f>VLOOKUP(DataTable[[#This Row],[Country]],Market!B:C,2,FALSE)</f>
        <v>Europe</v>
      </c>
      <c r="F182" s="24">
        <v>3</v>
      </c>
      <c r="G182" s="24">
        <v>140880</v>
      </c>
      <c r="H182" s="24">
        <v>125</v>
      </c>
      <c r="I182" s="27">
        <v>1174</v>
      </c>
      <c r="J182" s="24">
        <v>146750</v>
      </c>
      <c r="K182" s="24">
        <v>22012.5</v>
      </c>
      <c r="L182" s="1" t="s">
        <v>158</v>
      </c>
      <c r="M182" s="24">
        <v>124737.5</v>
      </c>
      <c r="N182" s="24">
        <f t="shared" si="2"/>
        <v>-16142.5</v>
      </c>
      <c r="O182" t="str">
        <f>IF(DataTable[[#This Row],[Profit]]/DataTable[[#This Row],[COGS]]*100&gt;20,"Achived","Not Achived")</f>
        <v>Not Achived</v>
      </c>
      <c r="P182" s="25">
        <f>DataTable[[#This Row],[Profit]]/DataTable[[#This Row],[COGS]]</f>
        <v>-0.11458333333333333</v>
      </c>
      <c r="Q182">
        <f>DataTable[[#This Row],[Manufacturing Price]]*DataTable[[#This Row],[Units Sold]]</f>
        <v>3522</v>
      </c>
      <c r="R182" s="26">
        <f>DataTable[[#This Row],[COGS]]-DataTable[[#This Row],[MC_US]]</f>
        <v>137358</v>
      </c>
      <c r="S182" s="26">
        <f>IF(DataTable[[#This Row],[COGS-MC_US]]&gt;=0,DataTable[[#This Row],[Manufacturing Price]],DataTable[[#This Row],[COGS]]/DataTable[[#This Row],[Units Sold]])</f>
        <v>3</v>
      </c>
    </row>
    <row r="183" spans="1:19" ht="12.75" x14ac:dyDescent="0.2">
      <c r="A183" s="20">
        <v>41883</v>
      </c>
      <c r="B183" t="s">
        <v>396</v>
      </c>
      <c r="C183" t="s">
        <v>393</v>
      </c>
      <c r="D183" t="s">
        <v>304</v>
      </c>
      <c r="E183" t="str">
        <f>VLOOKUP(DataTable[[#This Row],[Country]],Market!B:C,2,FALSE)</f>
        <v>Europe</v>
      </c>
      <c r="F183" s="24">
        <v>120</v>
      </c>
      <c r="G183" s="24">
        <v>79560</v>
      </c>
      <c r="H183" s="24">
        <v>125</v>
      </c>
      <c r="I183" s="27">
        <v>663</v>
      </c>
      <c r="J183" s="24">
        <v>82875</v>
      </c>
      <c r="K183" s="24">
        <v>12431.25</v>
      </c>
      <c r="L183" s="1" t="s">
        <v>158</v>
      </c>
      <c r="M183" s="24">
        <v>70443.75</v>
      </c>
      <c r="N183" s="24">
        <f t="shared" si="2"/>
        <v>-9116.25</v>
      </c>
      <c r="O183" t="str">
        <f>IF(DataTable[[#This Row],[Profit]]/DataTable[[#This Row],[COGS]]*100&gt;20,"Achived","Not Achived")</f>
        <v>Not Achived</v>
      </c>
      <c r="P183" s="25">
        <f>DataTable[[#This Row],[Profit]]/DataTable[[#This Row],[COGS]]</f>
        <v>-0.11458333333333333</v>
      </c>
      <c r="Q183">
        <f>DataTable[[#This Row],[Manufacturing Price]]*DataTable[[#This Row],[Units Sold]]</f>
        <v>79560</v>
      </c>
      <c r="R183" s="26">
        <f>DataTable[[#This Row],[COGS]]-DataTable[[#This Row],[MC_US]]</f>
        <v>0</v>
      </c>
      <c r="S183" s="26">
        <f>IF(DataTable[[#This Row],[COGS-MC_US]]&gt;=0,DataTable[[#This Row],[Manufacturing Price]],DataTable[[#This Row],[COGS]]/DataTable[[#This Row],[Units Sold]])</f>
        <v>120</v>
      </c>
    </row>
    <row r="184" spans="1:19" ht="12.75" hidden="1" x14ac:dyDescent="0.2">
      <c r="A184" s="20">
        <v>41821</v>
      </c>
      <c r="B184" t="s">
        <v>391</v>
      </c>
      <c r="C184" t="s">
        <v>393</v>
      </c>
      <c r="D184" t="s">
        <v>341</v>
      </c>
      <c r="E184" t="str">
        <f>VLOOKUP(DataTable[[#This Row],[Country]],Market!B:C,2,FALSE)</f>
        <v>North America</v>
      </c>
      <c r="F184" s="24">
        <v>5</v>
      </c>
      <c r="G184" s="24">
        <v>319860</v>
      </c>
      <c r="H184" s="24">
        <v>125</v>
      </c>
      <c r="I184" s="27">
        <v>2665.5</v>
      </c>
      <c r="J184" s="24">
        <v>333187.5</v>
      </c>
      <c r="K184" s="24">
        <v>0</v>
      </c>
      <c r="L184" s="1" t="s">
        <v>12</v>
      </c>
      <c r="M184" s="24">
        <v>333187.5</v>
      </c>
      <c r="N184" s="24">
        <f t="shared" si="2"/>
        <v>13327.5</v>
      </c>
      <c r="O184" t="str">
        <f>IF(DataTable[[#This Row],[Profit]]/DataTable[[#This Row],[COGS]]*100&gt;20,"Achived","Not Achived")</f>
        <v>Not Achived</v>
      </c>
      <c r="P184" s="25">
        <f>DataTable[[#This Row],[Profit]]/DataTable[[#This Row],[COGS]]</f>
        <v>4.1666666666666664E-2</v>
      </c>
      <c r="Q184">
        <f>DataTable[[#This Row],[Manufacturing Price]]*DataTable[[#This Row],[Units Sold]]</f>
        <v>13327.5</v>
      </c>
      <c r="R184" s="26">
        <f>DataTable[[#This Row],[COGS]]-DataTable[[#This Row],[MC_US]]</f>
        <v>306532.5</v>
      </c>
      <c r="S184" s="26">
        <f>IF(DataTable[[#This Row],[COGS-MC_US]]&gt;=0,DataTable[[#This Row],[Manufacturing Price]],DataTable[[#This Row],[COGS]]/DataTable[[#This Row],[Units Sold]])</f>
        <v>5</v>
      </c>
    </row>
    <row r="185" spans="1:19" ht="12.75" hidden="1" x14ac:dyDescent="0.2">
      <c r="A185" s="20">
        <v>41548</v>
      </c>
      <c r="B185" t="s">
        <v>391</v>
      </c>
      <c r="C185" t="s">
        <v>393</v>
      </c>
      <c r="D185" t="s">
        <v>341</v>
      </c>
      <c r="E185" t="str">
        <f>VLOOKUP(DataTable[[#This Row],[Country]],Market!B:C,2,FALSE)</f>
        <v>North America</v>
      </c>
      <c r="F185" s="24">
        <v>5</v>
      </c>
      <c r="G185" s="24">
        <v>41400</v>
      </c>
      <c r="H185" s="24">
        <v>125</v>
      </c>
      <c r="I185" s="27">
        <v>345</v>
      </c>
      <c r="J185" s="24">
        <v>43125</v>
      </c>
      <c r="K185" s="24">
        <v>0</v>
      </c>
      <c r="L185" s="1" t="s">
        <v>12</v>
      </c>
      <c r="M185" s="24">
        <v>43125</v>
      </c>
      <c r="N185" s="24">
        <f t="shared" si="2"/>
        <v>1725</v>
      </c>
      <c r="O185" t="str">
        <f>IF(DataTable[[#This Row],[Profit]]/DataTable[[#This Row],[COGS]]*100&gt;20,"Achived","Not Achived")</f>
        <v>Not Achived</v>
      </c>
      <c r="P185" s="25">
        <f>DataTable[[#This Row],[Profit]]/DataTable[[#This Row],[COGS]]</f>
        <v>4.1666666666666664E-2</v>
      </c>
      <c r="Q185">
        <f>DataTable[[#This Row],[Manufacturing Price]]*DataTable[[#This Row],[Units Sold]]</f>
        <v>1725</v>
      </c>
      <c r="R185" s="26">
        <f>DataTable[[#This Row],[COGS]]-DataTable[[#This Row],[MC_US]]</f>
        <v>39675</v>
      </c>
      <c r="S185" s="26">
        <f>IF(DataTable[[#This Row],[COGS-MC_US]]&gt;=0,DataTable[[#This Row],[Manufacturing Price]],DataTable[[#This Row],[COGS]]/DataTable[[#This Row],[Units Sold]])</f>
        <v>5</v>
      </c>
    </row>
    <row r="186" spans="1:19" ht="12.75" hidden="1" x14ac:dyDescent="0.2">
      <c r="A186" s="20">
        <v>41548</v>
      </c>
      <c r="B186" t="s">
        <v>396</v>
      </c>
      <c r="C186" t="s">
        <v>393</v>
      </c>
      <c r="D186" t="s">
        <v>341</v>
      </c>
      <c r="E186" t="str">
        <f>VLOOKUP(DataTable[[#This Row],[Country]],Market!B:C,2,FALSE)</f>
        <v>North America</v>
      </c>
      <c r="F186" s="24">
        <v>120</v>
      </c>
      <c r="G186" s="24">
        <v>41400</v>
      </c>
      <c r="H186" s="24">
        <v>125</v>
      </c>
      <c r="I186" s="27">
        <v>345</v>
      </c>
      <c r="J186" s="24">
        <v>43125</v>
      </c>
      <c r="K186" s="24">
        <v>0</v>
      </c>
      <c r="L186" s="1" t="s">
        <v>12</v>
      </c>
      <c r="M186" s="24">
        <v>43125</v>
      </c>
      <c r="N186" s="24">
        <f t="shared" si="2"/>
        <v>1725</v>
      </c>
      <c r="O186" t="str">
        <f>IF(DataTable[[#This Row],[Profit]]/DataTable[[#This Row],[COGS]]*100&gt;20,"Achived","Not Achived")</f>
        <v>Not Achived</v>
      </c>
      <c r="P186" s="25">
        <f>DataTable[[#This Row],[Profit]]/DataTable[[#This Row],[COGS]]</f>
        <v>4.1666666666666664E-2</v>
      </c>
      <c r="Q186">
        <f>DataTable[[#This Row],[Manufacturing Price]]*DataTable[[#This Row],[Units Sold]]</f>
        <v>41400</v>
      </c>
      <c r="R186" s="26">
        <f>DataTable[[#This Row],[COGS]]-DataTable[[#This Row],[MC_US]]</f>
        <v>0</v>
      </c>
      <c r="S186" s="26">
        <f>IF(DataTable[[#This Row],[COGS-MC_US]]&gt;=0,DataTable[[#This Row],[Manufacturing Price]],DataTable[[#This Row],[COGS]]/DataTable[[#This Row],[Units Sold]])</f>
        <v>120</v>
      </c>
    </row>
    <row r="187" spans="1:19" ht="12.75" hidden="1" x14ac:dyDescent="0.2">
      <c r="A187" s="20">
        <v>41852</v>
      </c>
      <c r="B187" t="s">
        <v>396</v>
      </c>
      <c r="C187" t="s">
        <v>393</v>
      </c>
      <c r="D187" t="s">
        <v>341</v>
      </c>
      <c r="E187" t="str">
        <f>VLOOKUP(DataTable[[#This Row],[Country]],Market!B:C,2,FALSE)</f>
        <v>North America</v>
      </c>
      <c r="F187" s="24">
        <v>120</v>
      </c>
      <c r="G187" s="24">
        <v>110760</v>
      </c>
      <c r="H187" s="24">
        <v>125</v>
      </c>
      <c r="I187" s="27">
        <v>923</v>
      </c>
      <c r="J187" s="24">
        <v>115375</v>
      </c>
      <c r="K187" s="24">
        <v>1153.75</v>
      </c>
      <c r="L187" s="1" t="s">
        <v>57</v>
      </c>
      <c r="M187" s="24">
        <v>114221.25</v>
      </c>
      <c r="N187" s="24">
        <f t="shared" si="2"/>
        <v>3461.25</v>
      </c>
      <c r="O187" t="str">
        <f>IF(DataTable[[#This Row],[Profit]]/DataTable[[#This Row],[COGS]]*100&gt;20,"Achived","Not Achived")</f>
        <v>Not Achived</v>
      </c>
      <c r="P187" s="25">
        <f>DataTable[[#This Row],[Profit]]/DataTable[[#This Row],[COGS]]</f>
        <v>3.125E-2</v>
      </c>
      <c r="Q187">
        <f>DataTable[[#This Row],[Manufacturing Price]]*DataTable[[#This Row],[Units Sold]]</f>
        <v>110760</v>
      </c>
      <c r="R187" s="26">
        <f>DataTable[[#This Row],[COGS]]-DataTable[[#This Row],[MC_US]]</f>
        <v>0</v>
      </c>
      <c r="S187" s="26">
        <f>IF(DataTable[[#This Row],[COGS-MC_US]]&gt;=0,DataTable[[#This Row],[Manufacturing Price]],DataTable[[#This Row],[COGS]]/DataTable[[#This Row],[Units Sold]])</f>
        <v>120</v>
      </c>
    </row>
    <row r="188" spans="1:19" ht="12.75" hidden="1" x14ac:dyDescent="0.2">
      <c r="A188" s="20">
        <v>41730</v>
      </c>
      <c r="B188" t="s">
        <v>389</v>
      </c>
      <c r="C188" t="s">
        <v>393</v>
      </c>
      <c r="D188" t="s">
        <v>341</v>
      </c>
      <c r="E188" t="str">
        <f>VLOOKUP(DataTable[[#This Row],[Country]],Market!B:C,2,FALSE)</f>
        <v>North America</v>
      </c>
      <c r="F188" s="24">
        <v>3</v>
      </c>
      <c r="G188" s="24">
        <v>89100</v>
      </c>
      <c r="H188" s="24">
        <v>125</v>
      </c>
      <c r="I188" s="27">
        <v>742.5</v>
      </c>
      <c r="J188" s="24">
        <v>92812.5</v>
      </c>
      <c r="K188" s="24">
        <v>1856.25</v>
      </c>
      <c r="L188" s="1" t="s">
        <v>57</v>
      </c>
      <c r="M188" s="24">
        <v>90956.25</v>
      </c>
      <c r="N188" s="24">
        <f t="shared" si="2"/>
        <v>1856.25</v>
      </c>
      <c r="O188" t="str">
        <f>IF(DataTable[[#This Row],[Profit]]/DataTable[[#This Row],[COGS]]*100&gt;20,"Achived","Not Achived")</f>
        <v>Not Achived</v>
      </c>
      <c r="P188" s="25">
        <f>DataTable[[#This Row],[Profit]]/DataTable[[#This Row],[COGS]]</f>
        <v>2.0833333333333332E-2</v>
      </c>
      <c r="Q188">
        <f>DataTable[[#This Row],[Manufacturing Price]]*DataTable[[#This Row],[Units Sold]]</f>
        <v>2227.5</v>
      </c>
      <c r="R188" s="26">
        <f>DataTable[[#This Row],[COGS]]-DataTable[[#This Row],[MC_US]]</f>
        <v>86872.5</v>
      </c>
      <c r="S188" s="26">
        <f>IF(DataTable[[#This Row],[COGS-MC_US]]&gt;=0,DataTable[[#This Row],[Manufacturing Price]],DataTable[[#This Row],[COGS]]/DataTable[[#This Row],[Units Sold]])</f>
        <v>3</v>
      </c>
    </row>
    <row r="189" spans="1:19" ht="12.75" hidden="1" x14ac:dyDescent="0.2">
      <c r="A189" s="20">
        <v>41974</v>
      </c>
      <c r="B189" t="s">
        <v>395</v>
      </c>
      <c r="C189" t="s">
        <v>393</v>
      </c>
      <c r="D189" t="s">
        <v>341</v>
      </c>
      <c r="E189" t="str">
        <f>VLOOKUP(DataTable[[#This Row],[Country]],Market!B:C,2,FALSE)</f>
        <v>North America</v>
      </c>
      <c r="F189" s="24">
        <v>10</v>
      </c>
      <c r="G189" s="24">
        <v>327480</v>
      </c>
      <c r="H189" s="24">
        <v>125</v>
      </c>
      <c r="I189" s="27">
        <v>2729</v>
      </c>
      <c r="J189" s="24">
        <v>341125</v>
      </c>
      <c r="K189" s="24">
        <v>6822.5</v>
      </c>
      <c r="L189" s="1" t="s">
        <v>57</v>
      </c>
      <c r="M189" s="24">
        <v>334302.5</v>
      </c>
      <c r="N189" s="24">
        <f t="shared" si="2"/>
        <v>6822.5</v>
      </c>
      <c r="O189" t="str">
        <f>IF(DataTable[[#This Row],[Profit]]/DataTable[[#This Row],[COGS]]*100&gt;20,"Achived","Not Achived")</f>
        <v>Not Achived</v>
      </c>
      <c r="P189" s="25">
        <f>DataTable[[#This Row],[Profit]]/DataTable[[#This Row],[COGS]]</f>
        <v>2.0833333333333332E-2</v>
      </c>
      <c r="Q189">
        <f>DataTable[[#This Row],[Manufacturing Price]]*DataTable[[#This Row],[Units Sold]]</f>
        <v>27290</v>
      </c>
      <c r="R189" s="26">
        <f>DataTable[[#This Row],[COGS]]-DataTable[[#This Row],[MC_US]]</f>
        <v>300190</v>
      </c>
      <c r="S189" s="26">
        <f>IF(DataTable[[#This Row],[COGS-MC_US]]&gt;=0,DataTable[[#This Row],[Manufacturing Price]],DataTable[[#This Row],[COGS]]/DataTable[[#This Row],[Units Sold]])</f>
        <v>10</v>
      </c>
    </row>
    <row r="190" spans="1:19" ht="12.75" hidden="1" x14ac:dyDescent="0.2">
      <c r="A190" s="20">
        <v>41974</v>
      </c>
      <c r="B190" t="s">
        <v>397</v>
      </c>
      <c r="C190" t="s">
        <v>393</v>
      </c>
      <c r="D190" t="s">
        <v>341</v>
      </c>
      <c r="E190" t="str">
        <f>VLOOKUP(DataTable[[#This Row],[Country]],Market!B:C,2,FALSE)</f>
        <v>North America</v>
      </c>
      <c r="F190" s="24">
        <v>250</v>
      </c>
      <c r="G190" s="24">
        <v>327480</v>
      </c>
      <c r="H190" s="24">
        <v>125</v>
      </c>
      <c r="I190" s="27">
        <v>2729</v>
      </c>
      <c r="J190" s="24">
        <v>341125</v>
      </c>
      <c r="K190" s="24">
        <v>6822.5</v>
      </c>
      <c r="L190" s="1" t="s">
        <v>57</v>
      </c>
      <c r="M190" s="24">
        <v>334302.5</v>
      </c>
      <c r="N190" s="24">
        <f t="shared" si="2"/>
        <v>6822.5</v>
      </c>
      <c r="O190" t="str">
        <f>IF(DataTable[[#This Row],[Profit]]/DataTable[[#This Row],[COGS]]*100&gt;20,"Achived","Not Achived")</f>
        <v>Not Achived</v>
      </c>
      <c r="P190" s="25">
        <f>DataTable[[#This Row],[Profit]]/DataTable[[#This Row],[COGS]]</f>
        <v>2.0833333333333332E-2</v>
      </c>
      <c r="Q190">
        <f>DataTable[[#This Row],[Manufacturing Price]]*DataTable[[#This Row],[Units Sold]]</f>
        <v>682250</v>
      </c>
      <c r="R190" s="26">
        <f>DataTable[[#This Row],[COGS]]-DataTable[[#This Row],[MC_US]]</f>
        <v>-354770</v>
      </c>
      <c r="S190" s="26">
        <f>IF(DataTable[[#This Row],[COGS-MC_US]]&gt;=0,DataTable[[#This Row],[Manufacturing Price]],DataTable[[#This Row],[COGS]]/DataTable[[#This Row],[Units Sold]])</f>
        <v>120</v>
      </c>
    </row>
    <row r="191" spans="1:19" ht="12.75" hidden="1" x14ac:dyDescent="0.2">
      <c r="A191" s="20">
        <v>41699</v>
      </c>
      <c r="B191" t="s">
        <v>395</v>
      </c>
      <c r="C191" t="s">
        <v>393</v>
      </c>
      <c r="D191" t="s">
        <v>341</v>
      </c>
      <c r="E191" t="str">
        <f>VLOOKUP(DataTable[[#This Row],[Country]],Market!B:C,2,FALSE)</f>
        <v>North America</v>
      </c>
      <c r="F191" s="24">
        <v>10</v>
      </c>
      <c r="G191" s="24">
        <v>212880</v>
      </c>
      <c r="H191" s="24">
        <v>125</v>
      </c>
      <c r="I191" s="27">
        <v>1774</v>
      </c>
      <c r="J191" s="24">
        <v>221750</v>
      </c>
      <c r="K191" s="24">
        <v>6652.5</v>
      </c>
      <c r="L191" s="1" t="s">
        <v>57</v>
      </c>
      <c r="M191" s="24">
        <v>215097.5</v>
      </c>
      <c r="N191" s="24">
        <f t="shared" si="2"/>
        <v>2217.5</v>
      </c>
      <c r="O191" t="str">
        <f>IF(DataTable[[#This Row],[Profit]]/DataTable[[#This Row],[COGS]]*100&gt;20,"Achived","Not Achived")</f>
        <v>Not Achived</v>
      </c>
      <c r="P191" s="25">
        <f>DataTable[[#This Row],[Profit]]/DataTable[[#This Row],[COGS]]</f>
        <v>1.0416666666666666E-2</v>
      </c>
      <c r="Q191">
        <f>DataTable[[#This Row],[Manufacturing Price]]*DataTable[[#This Row],[Units Sold]]</f>
        <v>17740</v>
      </c>
      <c r="R191" s="26">
        <f>DataTable[[#This Row],[COGS]]-DataTable[[#This Row],[MC_US]]</f>
        <v>195140</v>
      </c>
      <c r="S191" s="26">
        <f>IF(DataTable[[#This Row],[COGS-MC_US]]&gt;=0,DataTable[[#This Row],[Manufacturing Price]],DataTable[[#This Row],[COGS]]/DataTable[[#This Row],[Units Sold]])</f>
        <v>10</v>
      </c>
    </row>
    <row r="192" spans="1:19" ht="12.75" hidden="1" x14ac:dyDescent="0.2">
      <c r="A192" s="20">
        <v>41913</v>
      </c>
      <c r="B192" t="s">
        <v>395</v>
      </c>
      <c r="C192" t="s">
        <v>393</v>
      </c>
      <c r="D192" t="s">
        <v>341</v>
      </c>
      <c r="E192" t="str">
        <f>VLOOKUP(DataTable[[#This Row],[Country]],Market!B:C,2,FALSE)</f>
        <v>North America</v>
      </c>
      <c r="F192" s="24">
        <v>10</v>
      </c>
      <c r="G192" s="24">
        <v>241080</v>
      </c>
      <c r="H192" s="24">
        <v>125</v>
      </c>
      <c r="I192" s="27">
        <v>2009</v>
      </c>
      <c r="J192" s="24">
        <v>251125</v>
      </c>
      <c r="K192" s="24">
        <v>7533.75</v>
      </c>
      <c r="L192" s="1" t="s">
        <v>57</v>
      </c>
      <c r="M192" s="24">
        <v>243591.25</v>
      </c>
      <c r="N192" s="24">
        <f t="shared" si="2"/>
        <v>2511.25</v>
      </c>
      <c r="O192" t="str">
        <f>IF(DataTable[[#This Row],[Profit]]/DataTable[[#This Row],[COGS]]*100&gt;20,"Achived","Not Achived")</f>
        <v>Not Achived</v>
      </c>
      <c r="P192" s="25">
        <f>DataTable[[#This Row],[Profit]]/DataTable[[#This Row],[COGS]]</f>
        <v>1.0416666666666666E-2</v>
      </c>
      <c r="Q192">
        <f>DataTable[[#This Row],[Manufacturing Price]]*DataTable[[#This Row],[Units Sold]]</f>
        <v>20090</v>
      </c>
      <c r="R192" s="26">
        <f>DataTable[[#This Row],[COGS]]-DataTable[[#This Row],[MC_US]]</f>
        <v>220990</v>
      </c>
      <c r="S192" s="26">
        <f>IF(DataTable[[#This Row],[COGS-MC_US]]&gt;=0,DataTable[[#This Row],[Manufacturing Price]],DataTable[[#This Row],[COGS]]/DataTable[[#This Row],[Units Sold]])</f>
        <v>10</v>
      </c>
    </row>
    <row r="193" spans="1:19" ht="12.75" hidden="1" x14ac:dyDescent="0.2">
      <c r="A193" s="20">
        <v>41913</v>
      </c>
      <c r="B193" t="s">
        <v>396</v>
      </c>
      <c r="C193" t="s">
        <v>393</v>
      </c>
      <c r="D193" t="s">
        <v>341</v>
      </c>
      <c r="E193" t="str">
        <f>VLOOKUP(DataTable[[#This Row],[Country]],Market!B:C,2,FALSE)</f>
        <v>North America</v>
      </c>
      <c r="F193" s="24">
        <v>120</v>
      </c>
      <c r="G193" s="24">
        <v>241080</v>
      </c>
      <c r="H193" s="24">
        <v>125</v>
      </c>
      <c r="I193" s="27">
        <v>2009</v>
      </c>
      <c r="J193" s="24">
        <v>251125</v>
      </c>
      <c r="K193" s="24">
        <v>7533.75</v>
      </c>
      <c r="L193" s="1" t="s">
        <v>57</v>
      </c>
      <c r="M193" s="24">
        <v>243591.25</v>
      </c>
      <c r="N193" s="24">
        <f t="shared" si="2"/>
        <v>2511.25</v>
      </c>
      <c r="O193" t="str">
        <f>IF(DataTable[[#This Row],[Profit]]/DataTable[[#This Row],[COGS]]*100&gt;20,"Achived","Not Achived")</f>
        <v>Not Achived</v>
      </c>
      <c r="P193" s="25">
        <f>DataTable[[#This Row],[Profit]]/DataTable[[#This Row],[COGS]]</f>
        <v>1.0416666666666666E-2</v>
      </c>
      <c r="Q193">
        <f>DataTable[[#This Row],[Manufacturing Price]]*DataTable[[#This Row],[Units Sold]]</f>
        <v>241080</v>
      </c>
      <c r="R193" s="26">
        <f>DataTable[[#This Row],[COGS]]-DataTable[[#This Row],[MC_US]]</f>
        <v>0</v>
      </c>
      <c r="S193" s="26">
        <f>IF(DataTable[[#This Row],[COGS-MC_US]]&gt;=0,DataTable[[#This Row],[Manufacturing Price]],DataTable[[#This Row],[COGS]]/DataTable[[#This Row],[Units Sold]])</f>
        <v>120</v>
      </c>
    </row>
    <row r="194" spans="1:19" ht="12.75" hidden="1" x14ac:dyDescent="0.2">
      <c r="A194" s="20">
        <v>41671</v>
      </c>
      <c r="B194" t="s">
        <v>396</v>
      </c>
      <c r="C194" t="s">
        <v>393</v>
      </c>
      <c r="D194" t="s">
        <v>341</v>
      </c>
      <c r="E194" t="str">
        <f>VLOOKUP(DataTable[[#This Row],[Country]],Market!B:C,2,FALSE)</f>
        <v>North America</v>
      </c>
      <c r="F194" s="24">
        <v>120</v>
      </c>
      <c r="G194" s="24">
        <v>114240</v>
      </c>
      <c r="H194" s="24">
        <v>125</v>
      </c>
      <c r="I194" s="27">
        <v>952</v>
      </c>
      <c r="J194" s="24">
        <v>119000</v>
      </c>
      <c r="K194" s="24">
        <v>7140</v>
      </c>
      <c r="L194" s="1" t="s">
        <v>124</v>
      </c>
      <c r="M194" s="24">
        <v>111860</v>
      </c>
      <c r="N194" s="24">
        <f t="shared" si="2"/>
        <v>-2380</v>
      </c>
      <c r="O194" t="str">
        <f>IF(DataTable[[#This Row],[Profit]]/DataTable[[#This Row],[COGS]]*100&gt;20,"Achived","Not Achived")</f>
        <v>Not Achived</v>
      </c>
      <c r="P194" s="25">
        <f>DataTable[[#This Row],[Profit]]/DataTable[[#This Row],[COGS]]</f>
        <v>-2.0833333333333332E-2</v>
      </c>
      <c r="Q194">
        <f>DataTable[[#This Row],[Manufacturing Price]]*DataTable[[#This Row],[Units Sold]]</f>
        <v>114240</v>
      </c>
      <c r="R194" s="26">
        <f>DataTable[[#This Row],[COGS]]-DataTable[[#This Row],[MC_US]]</f>
        <v>0</v>
      </c>
      <c r="S194" s="26">
        <f>IF(DataTable[[#This Row],[COGS-MC_US]]&gt;=0,DataTable[[#This Row],[Manufacturing Price]],DataTable[[#This Row],[COGS]]/DataTable[[#This Row],[Units Sold]])</f>
        <v>120</v>
      </c>
    </row>
    <row r="195" spans="1:19" ht="12.75" hidden="1" x14ac:dyDescent="0.2">
      <c r="A195" s="20">
        <v>41760</v>
      </c>
      <c r="B195" t="s">
        <v>398</v>
      </c>
      <c r="C195" t="s">
        <v>393</v>
      </c>
      <c r="D195" t="s">
        <v>341</v>
      </c>
      <c r="E195" t="str">
        <f>VLOOKUP(DataTable[[#This Row],[Country]],Market!B:C,2,FALSE)</f>
        <v>North America</v>
      </c>
      <c r="F195" s="24">
        <v>260</v>
      </c>
      <c r="G195" s="24">
        <v>197400</v>
      </c>
      <c r="H195" s="24">
        <v>125</v>
      </c>
      <c r="I195" s="27">
        <v>1645</v>
      </c>
      <c r="J195" s="24">
        <v>205625</v>
      </c>
      <c r="K195" s="24">
        <v>14393.75</v>
      </c>
      <c r="L195" s="1" t="s">
        <v>124</v>
      </c>
      <c r="M195" s="24">
        <v>191231.25</v>
      </c>
      <c r="N195" s="24">
        <f t="shared" si="2"/>
        <v>-6168.75</v>
      </c>
      <c r="O195" t="str">
        <f>IF(DataTable[[#This Row],[Profit]]/DataTable[[#This Row],[COGS]]*100&gt;20,"Achived","Not Achived")</f>
        <v>Not Achived</v>
      </c>
      <c r="P195" s="25">
        <f>DataTable[[#This Row],[Profit]]/DataTable[[#This Row],[COGS]]</f>
        <v>-3.125E-2</v>
      </c>
      <c r="Q195">
        <f>DataTable[[#This Row],[Manufacturing Price]]*DataTable[[#This Row],[Units Sold]]</f>
        <v>427700</v>
      </c>
      <c r="R195" s="26">
        <f>DataTable[[#This Row],[COGS]]-DataTable[[#This Row],[MC_US]]</f>
        <v>-230300</v>
      </c>
      <c r="S195" s="26">
        <f>IF(DataTable[[#This Row],[COGS-MC_US]]&gt;=0,DataTable[[#This Row],[Manufacturing Price]],DataTable[[#This Row],[COGS]]/DataTable[[#This Row],[Units Sold]])</f>
        <v>120</v>
      </c>
    </row>
    <row r="196" spans="1:19" ht="12.75" hidden="1" x14ac:dyDescent="0.2">
      <c r="A196" s="20">
        <v>41883</v>
      </c>
      <c r="B196" t="s">
        <v>396</v>
      </c>
      <c r="C196" t="s">
        <v>393</v>
      </c>
      <c r="D196" t="s">
        <v>341</v>
      </c>
      <c r="E196" t="str">
        <f>VLOOKUP(DataTable[[#This Row],[Country]],Market!B:C,2,FALSE)</f>
        <v>North America</v>
      </c>
      <c r="F196" s="24">
        <v>120</v>
      </c>
      <c r="G196" s="24">
        <v>68040</v>
      </c>
      <c r="H196" s="24">
        <v>125</v>
      </c>
      <c r="I196" s="27">
        <v>567</v>
      </c>
      <c r="J196" s="24">
        <v>70875</v>
      </c>
      <c r="K196" s="24">
        <v>6378.75</v>
      </c>
      <c r="L196" s="1" t="s">
        <v>124</v>
      </c>
      <c r="M196" s="24">
        <v>64496.25</v>
      </c>
      <c r="N196" s="24">
        <f t="shared" ref="N196:N259" si="3">M196-G196</f>
        <v>-3543.75</v>
      </c>
      <c r="O196" t="str">
        <f>IF(DataTable[[#This Row],[Profit]]/DataTable[[#This Row],[COGS]]*100&gt;20,"Achived","Not Achived")</f>
        <v>Not Achived</v>
      </c>
      <c r="P196" s="25">
        <f>DataTable[[#This Row],[Profit]]/DataTable[[#This Row],[COGS]]</f>
        <v>-5.2083333333333336E-2</v>
      </c>
      <c r="Q196">
        <f>DataTable[[#This Row],[Manufacturing Price]]*DataTable[[#This Row],[Units Sold]]</f>
        <v>68040</v>
      </c>
      <c r="R196" s="26">
        <f>DataTable[[#This Row],[COGS]]-DataTable[[#This Row],[MC_US]]</f>
        <v>0</v>
      </c>
      <c r="S196" s="26">
        <f>IF(DataTable[[#This Row],[COGS-MC_US]]&gt;=0,DataTable[[#This Row],[Manufacturing Price]],DataTable[[#This Row],[COGS]]/DataTable[[#This Row],[Units Sold]])</f>
        <v>120</v>
      </c>
    </row>
    <row r="197" spans="1:19" ht="12.75" x14ac:dyDescent="0.2">
      <c r="A197" s="20">
        <v>41609</v>
      </c>
      <c r="B197" t="s">
        <v>396</v>
      </c>
      <c r="C197" t="s">
        <v>393</v>
      </c>
      <c r="D197" t="s">
        <v>341</v>
      </c>
      <c r="E197" t="str">
        <f>VLOOKUP(DataTable[[#This Row],[Country]],Market!B:C,2,FALSE)</f>
        <v>North America</v>
      </c>
      <c r="F197" s="24">
        <v>120</v>
      </c>
      <c r="G197" s="24">
        <v>229920</v>
      </c>
      <c r="H197" s="24">
        <v>125</v>
      </c>
      <c r="I197" s="27">
        <v>1916</v>
      </c>
      <c r="J197" s="24">
        <v>239500</v>
      </c>
      <c r="K197" s="24">
        <v>23950</v>
      </c>
      <c r="L197" s="1" t="s">
        <v>158</v>
      </c>
      <c r="M197" s="24">
        <v>215550</v>
      </c>
      <c r="N197" s="24">
        <f t="shared" si="3"/>
        <v>-14370</v>
      </c>
      <c r="O197" t="str">
        <f>IF(DataTable[[#This Row],[Profit]]/DataTable[[#This Row],[COGS]]*100&gt;20,"Achived","Not Achived")</f>
        <v>Not Achived</v>
      </c>
      <c r="P197" s="25">
        <f>DataTable[[#This Row],[Profit]]/DataTable[[#This Row],[COGS]]</f>
        <v>-6.25E-2</v>
      </c>
      <c r="Q197">
        <f>DataTable[[#This Row],[Manufacturing Price]]*DataTable[[#This Row],[Units Sold]]</f>
        <v>229920</v>
      </c>
      <c r="R197" s="26">
        <f>DataTable[[#This Row],[COGS]]-DataTable[[#This Row],[MC_US]]</f>
        <v>0</v>
      </c>
      <c r="S197" s="26">
        <f>IF(DataTable[[#This Row],[COGS-MC_US]]&gt;=0,DataTable[[#This Row],[Manufacturing Price]],DataTable[[#This Row],[COGS]]/DataTable[[#This Row],[Units Sold]])</f>
        <v>120</v>
      </c>
    </row>
    <row r="198" spans="1:19" ht="12.75" x14ac:dyDescent="0.2">
      <c r="A198" s="20">
        <v>41944</v>
      </c>
      <c r="B198" t="s">
        <v>397</v>
      </c>
      <c r="C198" t="s">
        <v>393</v>
      </c>
      <c r="D198" t="s">
        <v>341</v>
      </c>
      <c r="E198" t="str">
        <f>VLOOKUP(DataTable[[#This Row],[Country]],Market!B:C,2,FALSE)</f>
        <v>North America</v>
      </c>
      <c r="F198" s="24">
        <v>250</v>
      </c>
      <c r="G198" s="24">
        <v>303480</v>
      </c>
      <c r="H198" s="24">
        <v>125</v>
      </c>
      <c r="I198" s="27">
        <v>2529</v>
      </c>
      <c r="J198" s="24">
        <v>316125</v>
      </c>
      <c r="K198" s="24">
        <v>31612.5</v>
      </c>
      <c r="L198" s="1" t="s">
        <v>158</v>
      </c>
      <c r="M198" s="24">
        <v>284512.5</v>
      </c>
      <c r="N198" s="24">
        <f t="shared" si="3"/>
        <v>-18967.5</v>
      </c>
      <c r="O198" t="str">
        <f>IF(DataTable[[#This Row],[Profit]]/DataTable[[#This Row],[COGS]]*100&gt;20,"Achived","Not Achived")</f>
        <v>Not Achived</v>
      </c>
      <c r="P198" s="25">
        <f>DataTable[[#This Row],[Profit]]/DataTable[[#This Row],[COGS]]</f>
        <v>-6.25E-2</v>
      </c>
      <c r="Q198">
        <f>DataTable[[#This Row],[Manufacturing Price]]*DataTable[[#This Row],[Units Sold]]</f>
        <v>632250</v>
      </c>
      <c r="R198" s="26">
        <f>DataTable[[#This Row],[COGS]]-DataTable[[#This Row],[MC_US]]</f>
        <v>-328770</v>
      </c>
      <c r="S198" s="26">
        <f>IF(DataTable[[#This Row],[COGS-MC_US]]&gt;=0,DataTable[[#This Row],[Manufacturing Price]],DataTable[[#This Row],[COGS]]/DataTable[[#This Row],[Units Sold]])</f>
        <v>120</v>
      </c>
    </row>
    <row r="199" spans="1:19" ht="12.75" x14ac:dyDescent="0.2">
      <c r="A199" s="20">
        <v>41518</v>
      </c>
      <c r="B199" t="s">
        <v>389</v>
      </c>
      <c r="C199" t="s">
        <v>393</v>
      </c>
      <c r="D199" t="s">
        <v>341</v>
      </c>
      <c r="E199" t="str">
        <f>VLOOKUP(DataTable[[#This Row],[Country]],Market!B:C,2,FALSE)</f>
        <v>North America</v>
      </c>
      <c r="F199" s="24">
        <v>3</v>
      </c>
      <c r="G199" s="24">
        <v>289920</v>
      </c>
      <c r="H199" s="24">
        <v>125</v>
      </c>
      <c r="I199" s="27">
        <v>2416</v>
      </c>
      <c r="J199" s="24">
        <v>302000</v>
      </c>
      <c r="K199" s="24">
        <v>36240</v>
      </c>
      <c r="L199" s="1" t="s">
        <v>158</v>
      </c>
      <c r="M199" s="24">
        <v>265760</v>
      </c>
      <c r="N199" s="24">
        <f t="shared" si="3"/>
        <v>-24160</v>
      </c>
      <c r="O199" t="str">
        <f>IF(DataTable[[#This Row],[Profit]]/DataTable[[#This Row],[COGS]]*100&gt;20,"Achived","Not Achived")</f>
        <v>Not Achived</v>
      </c>
      <c r="P199" s="25">
        <f>DataTable[[#This Row],[Profit]]/DataTable[[#This Row],[COGS]]</f>
        <v>-8.3333333333333329E-2</v>
      </c>
      <c r="Q199">
        <f>DataTable[[#This Row],[Manufacturing Price]]*DataTable[[#This Row],[Units Sold]]</f>
        <v>7248</v>
      </c>
      <c r="R199" s="26">
        <f>DataTable[[#This Row],[COGS]]-DataTable[[#This Row],[MC_US]]</f>
        <v>282672</v>
      </c>
      <c r="S199" s="26">
        <f>IF(DataTable[[#This Row],[COGS-MC_US]]&gt;=0,DataTable[[#This Row],[Manufacturing Price]],DataTable[[#This Row],[COGS]]/DataTable[[#This Row],[Units Sold]])</f>
        <v>3</v>
      </c>
    </row>
    <row r="200" spans="1:19" ht="12.75" x14ac:dyDescent="0.2">
      <c r="A200" s="20">
        <v>41791</v>
      </c>
      <c r="B200" t="s">
        <v>395</v>
      </c>
      <c r="C200" t="s">
        <v>393</v>
      </c>
      <c r="D200" t="s">
        <v>341</v>
      </c>
      <c r="E200" t="str">
        <f>VLOOKUP(DataTable[[#This Row],[Country]],Market!B:C,2,FALSE)</f>
        <v>North America</v>
      </c>
      <c r="F200" s="24">
        <v>10</v>
      </c>
      <c r="G200" s="24">
        <v>189960</v>
      </c>
      <c r="H200" s="24">
        <v>125</v>
      </c>
      <c r="I200" s="27">
        <v>1583</v>
      </c>
      <c r="J200" s="24">
        <v>197875</v>
      </c>
      <c r="K200" s="24">
        <v>25723.75</v>
      </c>
      <c r="L200" s="1" t="s">
        <v>158</v>
      </c>
      <c r="M200" s="24">
        <v>172151.25</v>
      </c>
      <c r="N200" s="24">
        <f t="shared" si="3"/>
        <v>-17808.75</v>
      </c>
      <c r="O200" t="str">
        <f>IF(DataTable[[#This Row],[Profit]]/DataTable[[#This Row],[COGS]]*100&gt;20,"Achived","Not Achived")</f>
        <v>Not Achived</v>
      </c>
      <c r="P200" s="25">
        <f>DataTable[[#This Row],[Profit]]/DataTable[[#This Row],[COGS]]</f>
        <v>-9.375E-2</v>
      </c>
      <c r="Q200">
        <f>DataTable[[#This Row],[Manufacturing Price]]*DataTable[[#This Row],[Units Sold]]</f>
        <v>15830</v>
      </c>
      <c r="R200" s="26">
        <f>DataTable[[#This Row],[COGS]]-DataTable[[#This Row],[MC_US]]</f>
        <v>174130</v>
      </c>
      <c r="S200" s="26">
        <f>IF(DataTable[[#This Row],[COGS-MC_US]]&gt;=0,DataTable[[#This Row],[Manufacturing Price]],DataTable[[#This Row],[COGS]]/DataTable[[#This Row],[Units Sold]])</f>
        <v>10</v>
      </c>
    </row>
    <row r="201" spans="1:19" ht="12.75" x14ac:dyDescent="0.2">
      <c r="A201" s="20">
        <v>41791</v>
      </c>
      <c r="B201" t="s">
        <v>397</v>
      </c>
      <c r="C201" t="s">
        <v>393</v>
      </c>
      <c r="D201" t="s">
        <v>341</v>
      </c>
      <c r="E201" t="str">
        <f>VLOOKUP(DataTable[[#This Row],[Country]],Market!B:C,2,FALSE)</f>
        <v>North America</v>
      </c>
      <c r="F201" s="24">
        <v>250</v>
      </c>
      <c r="G201" s="24">
        <v>189960</v>
      </c>
      <c r="H201" s="24">
        <v>125</v>
      </c>
      <c r="I201" s="27">
        <v>1583</v>
      </c>
      <c r="J201" s="24">
        <v>197875</v>
      </c>
      <c r="K201" s="24">
        <v>25723.75</v>
      </c>
      <c r="L201" s="1" t="s">
        <v>158</v>
      </c>
      <c r="M201" s="24">
        <v>172151.25</v>
      </c>
      <c r="N201" s="24">
        <f t="shared" si="3"/>
        <v>-17808.75</v>
      </c>
      <c r="O201" t="str">
        <f>IF(DataTable[[#This Row],[Profit]]/DataTable[[#This Row],[COGS]]*100&gt;20,"Achived","Not Achived")</f>
        <v>Not Achived</v>
      </c>
      <c r="P201" s="25">
        <f>DataTable[[#This Row],[Profit]]/DataTable[[#This Row],[COGS]]</f>
        <v>-9.375E-2</v>
      </c>
      <c r="Q201">
        <f>DataTable[[#This Row],[Manufacturing Price]]*DataTable[[#This Row],[Units Sold]]</f>
        <v>395750</v>
      </c>
      <c r="R201" s="26">
        <f>DataTable[[#This Row],[COGS]]-DataTable[[#This Row],[MC_US]]</f>
        <v>-205790</v>
      </c>
      <c r="S201" s="26">
        <f>IF(DataTable[[#This Row],[COGS-MC_US]]&gt;=0,DataTable[[#This Row],[Manufacturing Price]],DataTable[[#This Row],[COGS]]/DataTable[[#This Row],[Units Sold]])</f>
        <v>120</v>
      </c>
    </row>
    <row r="202" spans="1:19" ht="12.75" x14ac:dyDescent="0.2">
      <c r="A202" s="20">
        <v>41640</v>
      </c>
      <c r="B202" t="s">
        <v>398</v>
      </c>
      <c r="C202" t="s">
        <v>393</v>
      </c>
      <c r="D202" t="s">
        <v>341</v>
      </c>
      <c r="E202" t="str">
        <f>VLOOKUP(DataTable[[#This Row],[Country]],Market!B:C,2,FALSE)</f>
        <v>North America</v>
      </c>
      <c r="F202" s="24">
        <v>260</v>
      </c>
      <c r="G202" s="24">
        <v>199080</v>
      </c>
      <c r="H202" s="24">
        <v>125</v>
      </c>
      <c r="I202" s="27">
        <v>1659</v>
      </c>
      <c r="J202" s="24">
        <v>207375</v>
      </c>
      <c r="K202" s="24">
        <v>26958.75</v>
      </c>
      <c r="L202" s="1" t="s">
        <v>158</v>
      </c>
      <c r="M202" s="24">
        <v>180416.25</v>
      </c>
      <c r="N202" s="24">
        <f t="shared" si="3"/>
        <v>-18663.75</v>
      </c>
      <c r="O202" t="str">
        <f>IF(DataTable[[#This Row],[Profit]]/DataTable[[#This Row],[COGS]]*100&gt;20,"Achived","Not Achived")</f>
        <v>Not Achived</v>
      </c>
      <c r="P202" s="25">
        <f>DataTable[[#This Row],[Profit]]/DataTable[[#This Row],[COGS]]</f>
        <v>-9.375E-2</v>
      </c>
      <c r="Q202">
        <f>DataTable[[#This Row],[Manufacturing Price]]*DataTable[[#This Row],[Units Sold]]</f>
        <v>431340</v>
      </c>
      <c r="R202" s="26">
        <f>DataTable[[#This Row],[COGS]]-DataTable[[#This Row],[MC_US]]</f>
        <v>-232260</v>
      </c>
      <c r="S202" s="26">
        <f>IF(DataTable[[#This Row],[COGS-MC_US]]&gt;=0,DataTable[[#This Row],[Manufacturing Price]],DataTable[[#This Row],[COGS]]/DataTable[[#This Row],[Units Sold]])</f>
        <v>120</v>
      </c>
    </row>
    <row r="203" spans="1:19" ht="12.75" x14ac:dyDescent="0.2">
      <c r="A203" s="20">
        <v>41579</v>
      </c>
      <c r="B203" t="s">
        <v>397</v>
      </c>
      <c r="C203" t="s">
        <v>393</v>
      </c>
      <c r="D203" t="s">
        <v>341</v>
      </c>
      <c r="E203" t="str">
        <f>VLOOKUP(DataTable[[#This Row],[Country]],Market!B:C,2,FALSE)</f>
        <v>North America</v>
      </c>
      <c r="F203" s="24">
        <v>250</v>
      </c>
      <c r="G203" s="24">
        <v>354480</v>
      </c>
      <c r="H203" s="24">
        <v>125</v>
      </c>
      <c r="I203" s="27">
        <v>2954</v>
      </c>
      <c r="J203" s="24">
        <v>369250</v>
      </c>
      <c r="K203" s="24">
        <v>55387.5</v>
      </c>
      <c r="L203" s="1" t="s">
        <v>158</v>
      </c>
      <c r="M203" s="24">
        <v>313862.5</v>
      </c>
      <c r="N203" s="24">
        <f t="shared" si="3"/>
        <v>-40617.5</v>
      </c>
      <c r="O203" t="str">
        <f>IF(DataTable[[#This Row],[Profit]]/DataTable[[#This Row],[COGS]]*100&gt;20,"Achived","Not Achived")</f>
        <v>Not Achived</v>
      </c>
      <c r="P203" s="25">
        <f>DataTable[[#This Row],[Profit]]/DataTable[[#This Row],[COGS]]</f>
        <v>-0.11458333333333333</v>
      </c>
      <c r="Q203">
        <f>DataTable[[#This Row],[Manufacturing Price]]*DataTable[[#This Row],[Units Sold]]</f>
        <v>738500</v>
      </c>
      <c r="R203" s="26">
        <f>DataTable[[#This Row],[COGS]]-DataTable[[#This Row],[MC_US]]</f>
        <v>-384020</v>
      </c>
      <c r="S203" s="26">
        <f>IF(DataTable[[#This Row],[COGS-MC_US]]&gt;=0,DataTable[[#This Row],[Manufacturing Price]],DataTable[[#This Row],[COGS]]/DataTable[[#This Row],[Units Sold]])</f>
        <v>120</v>
      </c>
    </row>
    <row r="204" spans="1:19" ht="12.75" hidden="1" x14ac:dyDescent="0.2">
      <c r="A204" s="20">
        <v>41913</v>
      </c>
      <c r="B204" t="s">
        <v>395</v>
      </c>
      <c r="C204" t="s">
        <v>388</v>
      </c>
      <c r="D204" t="s">
        <v>359</v>
      </c>
      <c r="E204" t="str">
        <f>VLOOKUP(DataTable[[#This Row],[Country]],Market!B:C,2,FALSE)</f>
        <v>North America</v>
      </c>
      <c r="F204" s="24">
        <v>10</v>
      </c>
      <c r="G204" s="24">
        <v>5715</v>
      </c>
      <c r="H204" s="24">
        <v>7</v>
      </c>
      <c r="I204" s="27">
        <v>1143</v>
      </c>
      <c r="J204" s="24">
        <v>8001</v>
      </c>
      <c r="K204" s="24">
        <v>0</v>
      </c>
      <c r="L204" s="1" t="s">
        <v>12</v>
      </c>
      <c r="M204" s="24">
        <v>8001</v>
      </c>
      <c r="N204" s="24">
        <f t="shared" si="3"/>
        <v>2286</v>
      </c>
      <c r="O204" t="str">
        <f>IF(DataTable[[#This Row],[Profit]]/DataTable[[#This Row],[COGS]]*100&gt;20,"Achived","Not Achived")</f>
        <v>Achived</v>
      </c>
      <c r="P204" s="25">
        <f>DataTable[[#This Row],[Profit]]/DataTable[[#This Row],[COGS]]</f>
        <v>0.4</v>
      </c>
      <c r="Q204">
        <f>DataTable[[#This Row],[Manufacturing Price]]*DataTable[[#This Row],[Units Sold]]</f>
        <v>11430</v>
      </c>
      <c r="R204" s="26">
        <f>DataTable[[#This Row],[COGS]]-DataTable[[#This Row],[MC_US]]</f>
        <v>-5715</v>
      </c>
      <c r="S204" s="26">
        <f>IF(DataTable[[#This Row],[COGS-MC_US]]&gt;=0,DataTable[[#This Row],[Manufacturing Price]],DataTable[[#This Row],[COGS]]/DataTable[[#This Row],[Units Sold]])</f>
        <v>5</v>
      </c>
    </row>
    <row r="205" spans="1:19" ht="12.75" hidden="1" x14ac:dyDescent="0.2">
      <c r="A205" s="20">
        <v>41913</v>
      </c>
      <c r="B205" t="s">
        <v>398</v>
      </c>
      <c r="C205" t="s">
        <v>388</v>
      </c>
      <c r="D205" t="s">
        <v>359</v>
      </c>
      <c r="E205" t="str">
        <f>VLOOKUP(DataTable[[#This Row],[Country]],Market!B:C,2,FALSE)</f>
        <v>North America</v>
      </c>
      <c r="F205" s="24">
        <v>260</v>
      </c>
      <c r="G205" s="24">
        <v>5715</v>
      </c>
      <c r="H205" s="24">
        <v>7</v>
      </c>
      <c r="I205" s="27">
        <v>1143</v>
      </c>
      <c r="J205" s="24">
        <v>8001</v>
      </c>
      <c r="K205" s="24">
        <v>0</v>
      </c>
      <c r="L205" s="1" t="s">
        <v>12</v>
      </c>
      <c r="M205" s="24">
        <v>8001</v>
      </c>
      <c r="N205" s="24">
        <f t="shared" si="3"/>
        <v>2286</v>
      </c>
      <c r="O205" t="str">
        <f>IF(DataTable[[#This Row],[Profit]]/DataTable[[#This Row],[COGS]]*100&gt;20,"Achived","Not Achived")</f>
        <v>Achived</v>
      </c>
      <c r="P205" s="25">
        <f>DataTable[[#This Row],[Profit]]/DataTable[[#This Row],[COGS]]</f>
        <v>0.4</v>
      </c>
      <c r="Q205">
        <f>DataTable[[#This Row],[Manufacturing Price]]*DataTable[[#This Row],[Units Sold]]</f>
        <v>297180</v>
      </c>
      <c r="R205" s="26">
        <f>DataTable[[#This Row],[COGS]]-DataTable[[#This Row],[MC_US]]</f>
        <v>-291465</v>
      </c>
      <c r="S205" s="26">
        <f>IF(DataTable[[#This Row],[COGS-MC_US]]&gt;=0,DataTable[[#This Row],[Manufacturing Price]],DataTable[[#This Row],[COGS]]/DataTable[[#This Row],[Units Sold]])</f>
        <v>5</v>
      </c>
    </row>
    <row r="206" spans="1:19" ht="12.75" hidden="1" x14ac:dyDescent="0.2">
      <c r="A206" s="20">
        <v>41821</v>
      </c>
      <c r="B206" t="s">
        <v>389</v>
      </c>
      <c r="C206" t="s">
        <v>388</v>
      </c>
      <c r="D206" t="s">
        <v>359</v>
      </c>
      <c r="E206" t="str">
        <f>VLOOKUP(DataTable[[#This Row],[Country]],Market!B:C,2,FALSE)</f>
        <v>North America</v>
      </c>
      <c r="F206" s="24">
        <v>3</v>
      </c>
      <c r="G206" s="24">
        <v>12645</v>
      </c>
      <c r="H206" s="24">
        <v>7</v>
      </c>
      <c r="I206" s="27">
        <v>2529</v>
      </c>
      <c r="J206" s="24">
        <v>17703</v>
      </c>
      <c r="K206" s="24">
        <v>177.03</v>
      </c>
      <c r="L206" s="1" t="s">
        <v>57</v>
      </c>
      <c r="M206" s="24">
        <v>17525.97</v>
      </c>
      <c r="N206" s="24">
        <f t="shared" si="3"/>
        <v>4880.9700000000012</v>
      </c>
      <c r="O206" t="str">
        <f>IF(DataTable[[#This Row],[Profit]]/DataTable[[#This Row],[COGS]]*100&gt;20,"Achived","Not Achived")</f>
        <v>Achived</v>
      </c>
      <c r="P206" s="25">
        <f>DataTable[[#This Row],[Profit]]/DataTable[[#This Row],[COGS]]</f>
        <v>0.38600000000000007</v>
      </c>
      <c r="Q206">
        <f>DataTable[[#This Row],[Manufacturing Price]]*DataTable[[#This Row],[Units Sold]]</f>
        <v>7587</v>
      </c>
      <c r="R206" s="26">
        <f>DataTable[[#This Row],[COGS]]-DataTable[[#This Row],[MC_US]]</f>
        <v>5058</v>
      </c>
      <c r="S206" s="26">
        <f>IF(DataTable[[#This Row],[COGS-MC_US]]&gt;=0,DataTable[[#This Row],[Manufacturing Price]],DataTable[[#This Row],[COGS]]/DataTable[[#This Row],[Units Sold]])</f>
        <v>3</v>
      </c>
    </row>
    <row r="207" spans="1:19" ht="12.75" hidden="1" x14ac:dyDescent="0.2">
      <c r="A207" s="20">
        <v>41730</v>
      </c>
      <c r="B207" t="s">
        <v>395</v>
      </c>
      <c r="C207" t="s">
        <v>388</v>
      </c>
      <c r="D207" t="s">
        <v>359</v>
      </c>
      <c r="E207" t="str">
        <f>VLOOKUP(DataTable[[#This Row],[Country]],Market!B:C,2,FALSE)</f>
        <v>North America</v>
      </c>
      <c r="F207" s="24">
        <v>10</v>
      </c>
      <c r="G207" s="24">
        <v>22462.5</v>
      </c>
      <c r="H207" s="24">
        <v>7</v>
      </c>
      <c r="I207" s="27">
        <v>4492.5</v>
      </c>
      <c r="J207" s="24">
        <v>31447.5</v>
      </c>
      <c r="K207" s="24">
        <v>314.48</v>
      </c>
      <c r="L207" s="1" t="s">
        <v>57</v>
      </c>
      <c r="M207" s="24">
        <v>31133.03</v>
      </c>
      <c r="N207" s="24">
        <f t="shared" si="3"/>
        <v>8670.5299999999988</v>
      </c>
      <c r="O207" t="str">
        <f>IF(DataTable[[#This Row],[Profit]]/DataTable[[#This Row],[COGS]]*100&gt;20,"Achived","Not Achived")</f>
        <v>Achived</v>
      </c>
      <c r="P207" s="25">
        <f>DataTable[[#This Row],[Profit]]/DataTable[[#This Row],[COGS]]</f>
        <v>0.38600022259321087</v>
      </c>
      <c r="Q207">
        <f>DataTable[[#This Row],[Manufacturing Price]]*DataTable[[#This Row],[Units Sold]]</f>
        <v>44925</v>
      </c>
      <c r="R207" s="26">
        <f>DataTable[[#This Row],[COGS]]-DataTable[[#This Row],[MC_US]]</f>
        <v>-22462.5</v>
      </c>
      <c r="S207" s="26">
        <f>IF(DataTable[[#This Row],[COGS-MC_US]]&gt;=0,DataTable[[#This Row],[Manufacturing Price]],DataTable[[#This Row],[COGS]]/DataTable[[#This Row],[Units Sold]])</f>
        <v>5</v>
      </c>
    </row>
    <row r="208" spans="1:19" ht="12.75" hidden="1" x14ac:dyDescent="0.2">
      <c r="A208" s="20">
        <v>41913</v>
      </c>
      <c r="B208" t="s">
        <v>391</v>
      </c>
      <c r="C208" t="s">
        <v>388</v>
      </c>
      <c r="D208" t="s">
        <v>359</v>
      </c>
      <c r="E208" t="str">
        <f>VLOOKUP(DataTable[[#This Row],[Country]],Market!B:C,2,FALSE)</f>
        <v>North America</v>
      </c>
      <c r="F208" s="24">
        <v>5</v>
      </c>
      <c r="G208" s="24">
        <v>15660</v>
      </c>
      <c r="H208" s="24">
        <v>20</v>
      </c>
      <c r="I208" s="27">
        <v>1566</v>
      </c>
      <c r="J208" s="24">
        <v>31320</v>
      </c>
      <c r="K208" s="24">
        <v>626.4</v>
      </c>
      <c r="L208" s="1" t="s">
        <v>57</v>
      </c>
      <c r="M208" s="24">
        <v>30693.599999999999</v>
      </c>
      <c r="N208" s="24">
        <f t="shared" si="3"/>
        <v>15033.599999999999</v>
      </c>
      <c r="O208" t="str">
        <f>IF(DataTable[[#This Row],[Profit]]/DataTable[[#This Row],[COGS]]*100&gt;20,"Achived","Not Achived")</f>
        <v>Achived</v>
      </c>
      <c r="P208" s="25">
        <f>DataTable[[#This Row],[Profit]]/DataTable[[#This Row],[COGS]]</f>
        <v>0.95999999999999985</v>
      </c>
      <c r="Q208">
        <f>DataTable[[#This Row],[Manufacturing Price]]*DataTable[[#This Row],[Units Sold]]</f>
        <v>7830</v>
      </c>
      <c r="R208" s="26">
        <f>DataTable[[#This Row],[COGS]]-DataTable[[#This Row],[MC_US]]</f>
        <v>7830</v>
      </c>
      <c r="S208" s="26">
        <f>IF(DataTable[[#This Row],[COGS-MC_US]]&gt;=0,DataTable[[#This Row],[Manufacturing Price]],DataTable[[#This Row],[COGS]]/DataTable[[#This Row],[Units Sold]])</f>
        <v>5</v>
      </c>
    </row>
    <row r="209" spans="1:19" ht="12.75" hidden="1" x14ac:dyDescent="0.2">
      <c r="A209" s="20">
        <v>41609</v>
      </c>
      <c r="B209" t="s">
        <v>395</v>
      </c>
      <c r="C209" t="s">
        <v>388</v>
      </c>
      <c r="D209" t="s">
        <v>359</v>
      </c>
      <c r="E209" t="str">
        <f>VLOOKUP(DataTable[[#This Row],[Country]],Market!B:C,2,FALSE)</f>
        <v>North America</v>
      </c>
      <c r="F209" s="24">
        <v>10</v>
      </c>
      <c r="G209" s="24">
        <v>10065</v>
      </c>
      <c r="H209" s="24">
        <v>7</v>
      </c>
      <c r="I209" s="27">
        <v>2013</v>
      </c>
      <c r="J209" s="24">
        <v>14091</v>
      </c>
      <c r="K209" s="24">
        <v>281.82</v>
      </c>
      <c r="L209" s="1" t="s">
        <v>57</v>
      </c>
      <c r="M209" s="24">
        <v>13809.18</v>
      </c>
      <c r="N209" s="24">
        <f t="shared" si="3"/>
        <v>3744.1800000000003</v>
      </c>
      <c r="O209" t="str">
        <f>IF(DataTable[[#This Row],[Profit]]/DataTable[[#This Row],[COGS]]*100&gt;20,"Achived","Not Achived")</f>
        <v>Achived</v>
      </c>
      <c r="P209" s="25">
        <f>DataTable[[#This Row],[Profit]]/DataTable[[#This Row],[COGS]]</f>
        <v>0.37200000000000005</v>
      </c>
      <c r="Q209">
        <f>DataTable[[#This Row],[Manufacturing Price]]*DataTable[[#This Row],[Units Sold]]</f>
        <v>20130</v>
      </c>
      <c r="R209" s="26">
        <f>DataTable[[#This Row],[COGS]]-DataTable[[#This Row],[MC_US]]</f>
        <v>-10065</v>
      </c>
      <c r="S209" s="26">
        <f>IF(DataTable[[#This Row],[COGS-MC_US]]&gt;=0,DataTable[[#This Row],[Manufacturing Price]],DataTable[[#This Row],[COGS]]/DataTable[[#This Row],[Units Sold]])</f>
        <v>5</v>
      </c>
    </row>
    <row r="210" spans="1:19" ht="12.75" hidden="1" x14ac:dyDescent="0.2">
      <c r="A210" s="20">
        <v>41913</v>
      </c>
      <c r="B210" t="s">
        <v>396</v>
      </c>
      <c r="C210" t="s">
        <v>388</v>
      </c>
      <c r="D210" t="s">
        <v>359</v>
      </c>
      <c r="E210" t="str">
        <f>VLOOKUP(DataTable[[#This Row],[Country]],Market!B:C,2,FALSE)</f>
        <v>North America</v>
      </c>
      <c r="F210" s="24">
        <v>120</v>
      </c>
      <c r="G210" s="24">
        <v>15660</v>
      </c>
      <c r="H210" s="24">
        <v>20</v>
      </c>
      <c r="I210" s="27">
        <v>1566</v>
      </c>
      <c r="J210" s="24">
        <v>31320</v>
      </c>
      <c r="K210" s="24">
        <v>626.4</v>
      </c>
      <c r="L210" s="1" t="s">
        <v>57</v>
      </c>
      <c r="M210" s="24">
        <v>30693.599999999999</v>
      </c>
      <c r="N210" s="24">
        <f t="shared" si="3"/>
        <v>15033.599999999999</v>
      </c>
      <c r="O210" t="str">
        <f>IF(DataTable[[#This Row],[Profit]]/DataTable[[#This Row],[COGS]]*100&gt;20,"Achived","Not Achived")</f>
        <v>Achived</v>
      </c>
      <c r="P210" s="25">
        <f>DataTable[[#This Row],[Profit]]/DataTable[[#This Row],[COGS]]</f>
        <v>0.95999999999999985</v>
      </c>
      <c r="Q210">
        <f>DataTable[[#This Row],[Manufacturing Price]]*DataTable[[#This Row],[Units Sold]]</f>
        <v>187920</v>
      </c>
      <c r="R210" s="26">
        <f>DataTable[[#This Row],[COGS]]-DataTable[[#This Row],[MC_US]]</f>
        <v>-172260</v>
      </c>
      <c r="S210" s="26">
        <f>IF(DataTable[[#This Row],[COGS-MC_US]]&gt;=0,DataTable[[#This Row],[Manufacturing Price]],DataTable[[#This Row],[COGS]]/DataTable[[#This Row],[Units Sold]])</f>
        <v>10</v>
      </c>
    </row>
    <row r="211" spans="1:19" ht="12.75" hidden="1" x14ac:dyDescent="0.2">
      <c r="A211" s="20">
        <v>41609</v>
      </c>
      <c r="B211" t="s">
        <v>397</v>
      </c>
      <c r="C211" t="s">
        <v>388</v>
      </c>
      <c r="D211" t="s">
        <v>359</v>
      </c>
      <c r="E211" t="str">
        <f>VLOOKUP(DataTable[[#This Row],[Country]],Market!B:C,2,FALSE)</f>
        <v>North America</v>
      </c>
      <c r="F211" s="24">
        <v>250</v>
      </c>
      <c r="G211" s="24">
        <v>69160</v>
      </c>
      <c r="H211" s="24">
        <v>350</v>
      </c>
      <c r="I211" s="27">
        <v>266</v>
      </c>
      <c r="J211" s="24">
        <v>93100</v>
      </c>
      <c r="K211" s="24">
        <v>1862</v>
      </c>
      <c r="L211" s="1" t="s">
        <v>57</v>
      </c>
      <c r="M211" s="24">
        <v>91238</v>
      </c>
      <c r="N211" s="24">
        <f t="shared" si="3"/>
        <v>22078</v>
      </c>
      <c r="O211" t="str">
        <f>IF(DataTable[[#This Row],[Profit]]/DataTable[[#This Row],[COGS]]*100&gt;20,"Achived","Not Achived")</f>
        <v>Achived</v>
      </c>
      <c r="P211" s="25">
        <f>DataTable[[#This Row],[Profit]]/DataTable[[#This Row],[COGS]]</f>
        <v>0.31923076923076921</v>
      </c>
      <c r="Q211">
        <f>DataTable[[#This Row],[Manufacturing Price]]*DataTable[[#This Row],[Units Sold]]</f>
        <v>66500</v>
      </c>
      <c r="R211" s="26">
        <f>DataTable[[#This Row],[COGS]]-DataTable[[#This Row],[MC_US]]</f>
        <v>2660</v>
      </c>
      <c r="S211" s="26">
        <f>IF(DataTable[[#This Row],[COGS-MC_US]]&gt;=0,DataTable[[#This Row],[Manufacturing Price]],DataTable[[#This Row],[COGS]]/DataTable[[#This Row],[Units Sold]])</f>
        <v>250</v>
      </c>
    </row>
    <row r="212" spans="1:19" ht="12.75" hidden="1" x14ac:dyDescent="0.2">
      <c r="A212" s="20">
        <v>41944</v>
      </c>
      <c r="B212" t="s">
        <v>398</v>
      </c>
      <c r="C212" t="s">
        <v>388</v>
      </c>
      <c r="D212" t="s">
        <v>359</v>
      </c>
      <c r="E212" t="str">
        <f>VLOOKUP(DataTable[[#This Row],[Country]],Market!B:C,2,FALSE)</f>
        <v>North America</v>
      </c>
      <c r="F212" s="24">
        <v>260</v>
      </c>
      <c r="G212" s="24">
        <v>12360</v>
      </c>
      <c r="H212" s="24">
        <v>20</v>
      </c>
      <c r="I212" s="27">
        <v>1236</v>
      </c>
      <c r="J212" s="24">
        <v>24720</v>
      </c>
      <c r="K212" s="24">
        <v>494.4</v>
      </c>
      <c r="L212" s="1" t="s">
        <v>57</v>
      </c>
      <c r="M212" s="24">
        <v>24225.599999999999</v>
      </c>
      <c r="N212" s="24">
        <f t="shared" si="3"/>
        <v>11865.599999999999</v>
      </c>
      <c r="O212" t="str">
        <f>IF(DataTable[[#This Row],[Profit]]/DataTable[[#This Row],[COGS]]*100&gt;20,"Achived","Not Achived")</f>
        <v>Achived</v>
      </c>
      <c r="P212" s="25">
        <f>DataTable[[#This Row],[Profit]]/DataTable[[#This Row],[COGS]]</f>
        <v>0.95999999999999985</v>
      </c>
      <c r="Q212">
        <f>DataTable[[#This Row],[Manufacturing Price]]*DataTable[[#This Row],[Units Sold]]</f>
        <v>321360</v>
      </c>
      <c r="R212" s="26">
        <f>DataTable[[#This Row],[COGS]]-DataTable[[#This Row],[MC_US]]</f>
        <v>-309000</v>
      </c>
      <c r="S212" s="26">
        <f>IF(DataTable[[#This Row],[COGS-MC_US]]&gt;=0,DataTable[[#This Row],[Manufacturing Price]],DataTable[[#This Row],[COGS]]/DataTable[[#This Row],[Units Sold]])</f>
        <v>10</v>
      </c>
    </row>
    <row r="213" spans="1:19" ht="12.75" hidden="1" x14ac:dyDescent="0.2">
      <c r="A213" s="20">
        <v>41518</v>
      </c>
      <c r="B213" t="s">
        <v>396</v>
      </c>
      <c r="C213" t="s">
        <v>388</v>
      </c>
      <c r="D213" t="s">
        <v>359</v>
      </c>
      <c r="E213" t="str">
        <f>VLOOKUP(DataTable[[#This Row],[Country]],Market!B:C,2,FALSE)</f>
        <v>North America</v>
      </c>
      <c r="F213" s="24">
        <v>120</v>
      </c>
      <c r="G213" s="24">
        <v>7360</v>
      </c>
      <c r="H213" s="24">
        <v>20</v>
      </c>
      <c r="I213" s="27">
        <v>736</v>
      </c>
      <c r="J213" s="24">
        <v>14720</v>
      </c>
      <c r="K213" s="24">
        <v>588.79999999999995</v>
      </c>
      <c r="L213" s="1" t="s">
        <v>57</v>
      </c>
      <c r="M213" s="24">
        <v>14131.2</v>
      </c>
      <c r="N213" s="24">
        <f t="shared" si="3"/>
        <v>6771.2000000000007</v>
      </c>
      <c r="O213" t="str">
        <f>IF(DataTable[[#This Row],[Profit]]/DataTable[[#This Row],[COGS]]*100&gt;20,"Achived","Not Achived")</f>
        <v>Achived</v>
      </c>
      <c r="P213" s="25">
        <f>DataTable[[#This Row],[Profit]]/DataTable[[#This Row],[COGS]]</f>
        <v>0.92000000000000015</v>
      </c>
      <c r="Q213">
        <f>DataTable[[#This Row],[Manufacturing Price]]*DataTable[[#This Row],[Units Sold]]</f>
        <v>88320</v>
      </c>
      <c r="R213" s="26">
        <f>DataTable[[#This Row],[COGS]]-DataTable[[#This Row],[MC_US]]</f>
        <v>-80960</v>
      </c>
      <c r="S213" s="26">
        <f>IF(DataTable[[#This Row],[COGS-MC_US]]&gt;=0,DataTable[[#This Row],[Manufacturing Price]],DataTable[[#This Row],[COGS]]/DataTable[[#This Row],[Units Sold]])</f>
        <v>10</v>
      </c>
    </row>
    <row r="214" spans="1:19" ht="12.75" hidden="1" x14ac:dyDescent="0.2">
      <c r="A214" s="20">
        <v>41974</v>
      </c>
      <c r="B214" t="s">
        <v>389</v>
      </c>
      <c r="C214" t="s">
        <v>388</v>
      </c>
      <c r="D214" t="s">
        <v>359</v>
      </c>
      <c r="E214" t="str">
        <f>VLOOKUP(DataTable[[#This Row],[Country]],Market!B:C,2,FALSE)</f>
        <v>North America</v>
      </c>
      <c r="F214" s="24">
        <v>3</v>
      </c>
      <c r="G214" s="24">
        <v>71240</v>
      </c>
      <c r="H214" s="24">
        <v>350</v>
      </c>
      <c r="I214" s="27">
        <v>274</v>
      </c>
      <c r="J214" s="24">
        <v>95900</v>
      </c>
      <c r="K214" s="24">
        <v>3836</v>
      </c>
      <c r="L214" s="1" t="s">
        <v>57</v>
      </c>
      <c r="M214" s="24">
        <v>92064</v>
      </c>
      <c r="N214" s="24">
        <f t="shared" si="3"/>
        <v>20824</v>
      </c>
      <c r="O214" t="str">
        <f>IF(DataTable[[#This Row],[Profit]]/DataTable[[#This Row],[COGS]]*100&gt;20,"Achived","Not Achived")</f>
        <v>Achived</v>
      </c>
      <c r="P214" s="25">
        <f>DataTable[[#This Row],[Profit]]/DataTable[[#This Row],[COGS]]</f>
        <v>0.29230769230769232</v>
      </c>
      <c r="Q214">
        <f>DataTable[[#This Row],[Manufacturing Price]]*DataTable[[#This Row],[Units Sold]]</f>
        <v>822</v>
      </c>
      <c r="R214" s="26">
        <f>DataTable[[#This Row],[COGS]]-DataTable[[#This Row],[MC_US]]</f>
        <v>70418</v>
      </c>
      <c r="S214" s="26">
        <f>IF(DataTable[[#This Row],[COGS-MC_US]]&gt;=0,DataTable[[#This Row],[Manufacturing Price]],DataTable[[#This Row],[COGS]]/DataTable[[#This Row],[Units Sold]])</f>
        <v>3</v>
      </c>
    </row>
    <row r="215" spans="1:19" ht="12.75" hidden="1" x14ac:dyDescent="0.2">
      <c r="A215" s="20">
        <v>41821</v>
      </c>
      <c r="B215" t="s">
        <v>395</v>
      </c>
      <c r="C215" t="s">
        <v>388</v>
      </c>
      <c r="D215" t="s">
        <v>359</v>
      </c>
      <c r="E215" t="str">
        <f>VLOOKUP(DataTable[[#This Row],[Country]],Market!B:C,2,FALSE)</f>
        <v>North America</v>
      </c>
      <c r="F215" s="24">
        <v>10</v>
      </c>
      <c r="G215" s="24">
        <v>897000</v>
      </c>
      <c r="H215" s="24">
        <v>350</v>
      </c>
      <c r="I215" s="27">
        <v>3450</v>
      </c>
      <c r="J215" s="24">
        <v>1207500</v>
      </c>
      <c r="K215" s="24">
        <v>48300</v>
      </c>
      <c r="L215" s="1" t="s">
        <v>57</v>
      </c>
      <c r="M215" s="24">
        <v>1159200</v>
      </c>
      <c r="N215" s="24">
        <f t="shared" si="3"/>
        <v>262200</v>
      </c>
      <c r="O215" t="str">
        <f>IF(DataTable[[#This Row],[Profit]]/DataTable[[#This Row],[COGS]]*100&gt;20,"Achived","Not Achived")</f>
        <v>Achived</v>
      </c>
      <c r="P215" s="25">
        <f>DataTable[[#This Row],[Profit]]/DataTable[[#This Row],[COGS]]</f>
        <v>0.29230769230769232</v>
      </c>
      <c r="Q215">
        <f>DataTable[[#This Row],[Manufacturing Price]]*DataTable[[#This Row],[Units Sold]]</f>
        <v>34500</v>
      </c>
      <c r="R215" s="26">
        <f>DataTable[[#This Row],[COGS]]-DataTable[[#This Row],[MC_US]]</f>
        <v>862500</v>
      </c>
      <c r="S215" s="26">
        <f>IF(DataTable[[#This Row],[COGS-MC_US]]&gt;=0,DataTable[[#This Row],[Manufacturing Price]],DataTable[[#This Row],[COGS]]/DataTable[[#This Row],[Units Sold]])</f>
        <v>10</v>
      </c>
    </row>
    <row r="216" spans="1:19" ht="12.75" hidden="1" x14ac:dyDescent="0.2">
      <c r="A216" s="20">
        <v>41883</v>
      </c>
      <c r="B216" t="s">
        <v>395</v>
      </c>
      <c r="C216" t="s">
        <v>388</v>
      </c>
      <c r="D216" t="s">
        <v>359</v>
      </c>
      <c r="E216" t="str">
        <f>VLOOKUP(DataTable[[#This Row],[Country]],Market!B:C,2,FALSE)</f>
        <v>North America</v>
      </c>
      <c r="F216" s="24">
        <v>10</v>
      </c>
      <c r="G216" s="24">
        <v>10560</v>
      </c>
      <c r="H216" s="24">
        <v>20</v>
      </c>
      <c r="I216" s="27">
        <v>1056</v>
      </c>
      <c r="J216" s="24">
        <v>21120</v>
      </c>
      <c r="K216" s="24">
        <v>844.8</v>
      </c>
      <c r="L216" s="1" t="s">
        <v>57</v>
      </c>
      <c r="M216" s="24">
        <v>20275.2</v>
      </c>
      <c r="N216" s="24">
        <f t="shared" si="3"/>
        <v>9715.2000000000007</v>
      </c>
      <c r="O216" t="str">
        <f>IF(DataTable[[#This Row],[Profit]]/DataTable[[#This Row],[COGS]]*100&gt;20,"Achived","Not Achived")</f>
        <v>Achived</v>
      </c>
      <c r="P216" s="25">
        <f>DataTable[[#This Row],[Profit]]/DataTable[[#This Row],[COGS]]</f>
        <v>0.92</v>
      </c>
      <c r="Q216">
        <f>DataTable[[#This Row],[Manufacturing Price]]*DataTable[[#This Row],[Units Sold]]</f>
        <v>10560</v>
      </c>
      <c r="R216" s="26">
        <f>DataTable[[#This Row],[COGS]]-DataTable[[#This Row],[MC_US]]</f>
        <v>0</v>
      </c>
      <c r="S216" s="26">
        <f>IF(DataTable[[#This Row],[COGS-MC_US]]&gt;=0,DataTable[[#This Row],[Manufacturing Price]],DataTable[[#This Row],[COGS]]/DataTable[[#This Row],[Units Sold]])</f>
        <v>10</v>
      </c>
    </row>
    <row r="217" spans="1:19" ht="12.75" hidden="1" x14ac:dyDescent="0.2">
      <c r="A217" s="20">
        <v>41974</v>
      </c>
      <c r="B217" t="s">
        <v>395</v>
      </c>
      <c r="C217" t="s">
        <v>388</v>
      </c>
      <c r="D217" t="s">
        <v>359</v>
      </c>
      <c r="E217" t="str">
        <f>VLOOKUP(DataTable[[#This Row],[Country]],Market!B:C,2,FALSE)</f>
        <v>North America</v>
      </c>
      <c r="F217" s="24">
        <v>10</v>
      </c>
      <c r="G217" s="24">
        <v>71240</v>
      </c>
      <c r="H217" s="24">
        <v>350</v>
      </c>
      <c r="I217" s="27">
        <v>274</v>
      </c>
      <c r="J217" s="24">
        <v>95900</v>
      </c>
      <c r="K217" s="24">
        <v>3836</v>
      </c>
      <c r="L217" s="1" t="s">
        <v>57</v>
      </c>
      <c r="M217" s="24">
        <v>92064</v>
      </c>
      <c r="N217" s="24">
        <f t="shared" si="3"/>
        <v>20824</v>
      </c>
      <c r="O217" t="str">
        <f>IF(DataTable[[#This Row],[Profit]]/DataTable[[#This Row],[COGS]]*100&gt;20,"Achived","Not Achived")</f>
        <v>Achived</v>
      </c>
      <c r="P217" s="25">
        <f>DataTable[[#This Row],[Profit]]/DataTable[[#This Row],[COGS]]</f>
        <v>0.29230769230769232</v>
      </c>
      <c r="Q217">
        <f>DataTable[[#This Row],[Manufacturing Price]]*DataTable[[#This Row],[Units Sold]]</f>
        <v>2740</v>
      </c>
      <c r="R217" s="26">
        <f>DataTable[[#This Row],[COGS]]-DataTable[[#This Row],[MC_US]]</f>
        <v>68500</v>
      </c>
      <c r="S217" s="26">
        <f>IF(DataTable[[#This Row],[COGS-MC_US]]&gt;=0,DataTable[[#This Row],[Manufacturing Price]],DataTable[[#This Row],[COGS]]/DataTable[[#This Row],[Units Sold]])</f>
        <v>10</v>
      </c>
    </row>
    <row r="218" spans="1:19" ht="12.75" hidden="1" x14ac:dyDescent="0.2">
      <c r="A218" s="20">
        <v>41518</v>
      </c>
      <c r="B218" t="s">
        <v>397</v>
      </c>
      <c r="C218" t="s">
        <v>388</v>
      </c>
      <c r="D218" t="s">
        <v>359</v>
      </c>
      <c r="E218" t="str">
        <f>VLOOKUP(DataTable[[#This Row],[Country]],Market!B:C,2,FALSE)</f>
        <v>North America</v>
      </c>
      <c r="F218" s="24">
        <v>250</v>
      </c>
      <c r="G218" s="24">
        <v>90740</v>
      </c>
      <c r="H218" s="24">
        <v>350</v>
      </c>
      <c r="I218" s="27">
        <v>349</v>
      </c>
      <c r="J218" s="24">
        <v>122150</v>
      </c>
      <c r="K218" s="24">
        <v>4886</v>
      </c>
      <c r="L218" s="1" t="s">
        <v>57</v>
      </c>
      <c r="M218" s="24">
        <v>117264</v>
      </c>
      <c r="N218" s="24">
        <f t="shared" si="3"/>
        <v>26524</v>
      </c>
      <c r="O218" t="str">
        <f>IF(DataTable[[#This Row],[Profit]]/DataTable[[#This Row],[COGS]]*100&gt;20,"Achived","Not Achived")</f>
        <v>Achived</v>
      </c>
      <c r="P218" s="25">
        <f>DataTable[[#This Row],[Profit]]/DataTable[[#This Row],[COGS]]</f>
        <v>0.29230769230769232</v>
      </c>
      <c r="Q218">
        <f>DataTable[[#This Row],[Manufacturing Price]]*DataTable[[#This Row],[Units Sold]]</f>
        <v>87250</v>
      </c>
      <c r="R218" s="26">
        <f>DataTable[[#This Row],[COGS]]-DataTable[[#This Row],[MC_US]]</f>
        <v>3490</v>
      </c>
      <c r="S218" s="26">
        <f>IF(DataTable[[#This Row],[COGS-MC_US]]&gt;=0,DataTable[[#This Row],[Manufacturing Price]],DataTable[[#This Row],[COGS]]/DataTable[[#This Row],[Units Sold]])</f>
        <v>250</v>
      </c>
    </row>
    <row r="219" spans="1:19" ht="12.75" hidden="1" x14ac:dyDescent="0.2">
      <c r="A219" s="20">
        <v>41974</v>
      </c>
      <c r="B219" t="s">
        <v>389</v>
      </c>
      <c r="C219" t="s">
        <v>388</v>
      </c>
      <c r="D219" t="s">
        <v>359</v>
      </c>
      <c r="E219" t="str">
        <f>VLOOKUP(DataTable[[#This Row],[Country]],Market!B:C,2,FALSE)</f>
        <v>North America</v>
      </c>
      <c r="F219" s="24">
        <v>3</v>
      </c>
      <c r="G219" s="24">
        <v>2850</v>
      </c>
      <c r="H219" s="24">
        <v>7</v>
      </c>
      <c r="I219" s="27">
        <v>570</v>
      </c>
      <c r="J219" s="24">
        <v>3990</v>
      </c>
      <c r="K219" s="24">
        <v>199.5</v>
      </c>
      <c r="L219" s="1" t="s">
        <v>124</v>
      </c>
      <c r="M219" s="24">
        <v>3790.5</v>
      </c>
      <c r="N219" s="24">
        <f t="shared" si="3"/>
        <v>940.5</v>
      </c>
      <c r="O219" t="str">
        <f>IF(DataTable[[#This Row],[Profit]]/DataTable[[#This Row],[COGS]]*100&gt;20,"Achived","Not Achived")</f>
        <v>Achived</v>
      </c>
      <c r="P219" s="25">
        <f>DataTable[[#This Row],[Profit]]/DataTable[[#This Row],[COGS]]</f>
        <v>0.33</v>
      </c>
      <c r="Q219">
        <f>DataTable[[#This Row],[Manufacturing Price]]*DataTable[[#This Row],[Units Sold]]</f>
        <v>1710</v>
      </c>
      <c r="R219" s="26">
        <f>DataTable[[#This Row],[COGS]]-DataTable[[#This Row],[MC_US]]</f>
        <v>1140</v>
      </c>
      <c r="S219" s="26">
        <f>IF(DataTable[[#This Row],[COGS-MC_US]]&gt;=0,DataTable[[#This Row],[Manufacturing Price]],DataTable[[#This Row],[COGS]]/DataTable[[#This Row],[Units Sold]])</f>
        <v>3</v>
      </c>
    </row>
    <row r="220" spans="1:19" ht="12.75" hidden="1" x14ac:dyDescent="0.2">
      <c r="A220" s="20">
        <v>41760</v>
      </c>
      <c r="B220" t="s">
        <v>395</v>
      </c>
      <c r="C220" t="s">
        <v>388</v>
      </c>
      <c r="D220" t="s">
        <v>359</v>
      </c>
      <c r="E220" t="str">
        <f>VLOOKUP(DataTable[[#This Row],[Country]],Market!B:C,2,FALSE)</f>
        <v>North America</v>
      </c>
      <c r="F220" s="24">
        <v>10</v>
      </c>
      <c r="G220" s="24">
        <v>11635</v>
      </c>
      <c r="H220" s="24">
        <v>7</v>
      </c>
      <c r="I220" s="27">
        <v>2327</v>
      </c>
      <c r="J220" s="24">
        <v>16289</v>
      </c>
      <c r="K220" s="24">
        <v>814.45</v>
      </c>
      <c r="L220" s="1" t="s">
        <v>124</v>
      </c>
      <c r="M220" s="24">
        <v>15474.55</v>
      </c>
      <c r="N220" s="24">
        <f t="shared" si="3"/>
        <v>3839.5499999999993</v>
      </c>
      <c r="O220" t="str">
        <f>IF(DataTable[[#This Row],[Profit]]/DataTable[[#This Row],[COGS]]*100&gt;20,"Achived","Not Achived")</f>
        <v>Achived</v>
      </c>
      <c r="P220" s="25">
        <f>DataTable[[#This Row],[Profit]]/DataTable[[#This Row],[COGS]]</f>
        <v>0.32999999999999996</v>
      </c>
      <c r="Q220">
        <f>DataTable[[#This Row],[Manufacturing Price]]*DataTable[[#This Row],[Units Sold]]</f>
        <v>23270</v>
      </c>
      <c r="R220" s="26">
        <f>DataTable[[#This Row],[COGS]]-DataTable[[#This Row],[MC_US]]</f>
        <v>-11635</v>
      </c>
      <c r="S220" s="26">
        <f>IF(DataTable[[#This Row],[COGS-MC_US]]&gt;=0,DataTable[[#This Row],[Manufacturing Price]],DataTable[[#This Row],[COGS]]/DataTable[[#This Row],[Units Sold]])</f>
        <v>5</v>
      </c>
    </row>
    <row r="221" spans="1:19" ht="12.75" hidden="1" x14ac:dyDescent="0.2">
      <c r="A221" s="20">
        <v>41791</v>
      </c>
      <c r="B221" t="s">
        <v>395</v>
      </c>
      <c r="C221" t="s">
        <v>388</v>
      </c>
      <c r="D221" t="s">
        <v>359</v>
      </c>
      <c r="E221" t="str">
        <f>VLOOKUP(DataTable[[#This Row],[Country]],Market!B:C,2,FALSE)</f>
        <v>North America</v>
      </c>
      <c r="F221" s="24">
        <v>10</v>
      </c>
      <c r="G221" s="24">
        <v>156520</v>
      </c>
      <c r="H221" s="24">
        <v>350</v>
      </c>
      <c r="I221" s="27">
        <v>602</v>
      </c>
      <c r="J221" s="24">
        <v>210700</v>
      </c>
      <c r="K221" s="24">
        <v>10535</v>
      </c>
      <c r="L221" s="1" t="s">
        <v>124</v>
      </c>
      <c r="M221" s="24">
        <v>200165</v>
      </c>
      <c r="N221" s="24">
        <f t="shared" si="3"/>
        <v>43645</v>
      </c>
      <c r="O221" t="str">
        <f>IF(DataTable[[#This Row],[Profit]]/DataTable[[#This Row],[COGS]]*100&gt;20,"Achived","Not Achived")</f>
        <v>Achived</v>
      </c>
      <c r="P221" s="25">
        <f>DataTable[[#This Row],[Profit]]/DataTable[[#This Row],[COGS]]</f>
        <v>0.27884615384615385</v>
      </c>
      <c r="Q221">
        <f>DataTable[[#This Row],[Manufacturing Price]]*DataTable[[#This Row],[Units Sold]]</f>
        <v>6020</v>
      </c>
      <c r="R221" s="26">
        <f>DataTable[[#This Row],[COGS]]-DataTable[[#This Row],[MC_US]]</f>
        <v>150500</v>
      </c>
      <c r="S221" s="26">
        <f>IF(DataTable[[#This Row],[COGS-MC_US]]&gt;=0,DataTable[[#This Row],[Manufacturing Price]],DataTable[[#This Row],[COGS]]/DataTable[[#This Row],[Units Sold]])</f>
        <v>10</v>
      </c>
    </row>
    <row r="222" spans="1:19" ht="12.75" hidden="1" x14ac:dyDescent="0.2">
      <c r="A222" s="20">
        <v>41974</v>
      </c>
      <c r="B222" t="s">
        <v>395</v>
      </c>
      <c r="C222" t="s">
        <v>388</v>
      </c>
      <c r="D222" t="s">
        <v>359</v>
      </c>
      <c r="E222" t="str">
        <f>VLOOKUP(DataTable[[#This Row],[Country]],Market!B:C,2,FALSE)</f>
        <v>North America</v>
      </c>
      <c r="F222" s="24">
        <v>10</v>
      </c>
      <c r="G222" s="24">
        <v>26630</v>
      </c>
      <c r="H222" s="24">
        <v>20</v>
      </c>
      <c r="I222" s="27">
        <v>2663</v>
      </c>
      <c r="J222" s="24">
        <v>53260</v>
      </c>
      <c r="K222" s="24">
        <v>2663</v>
      </c>
      <c r="L222" s="1" t="s">
        <v>124</v>
      </c>
      <c r="M222" s="24">
        <v>50597</v>
      </c>
      <c r="N222" s="24">
        <f t="shared" si="3"/>
        <v>23967</v>
      </c>
      <c r="O222" t="str">
        <f>IF(DataTable[[#This Row],[Profit]]/DataTable[[#This Row],[COGS]]*100&gt;20,"Achived","Not Achived")</f>
        <v>Achived</v>
      </c>
      <c r="P222" s="25">
        <f>DataTable[[#This Row],[Profit]]/DataTable[[#This Row],[COGS]]</f>
        <v>0.9</v>
      </c>
      <c r="Q222">
        <f>DataTable[[#This Row],[Manufacturing Price]]*DataTable[[#This Row],[Units Sold]]</f>
        <v>26630</v>
      </c>
      <c r="R222" s="26">
        <f>DataTable[[#This Row],[COGS]]-DataTable[[#This Row],[MC_US]]</f>
        <v>0</v>
      </c>
      <c r="S222" s="26">
        <f>IF(DataTable[[#This Row],[COGS-MC_US]]&gt;=0,DataTable[[#This Row],[Manufacturing Price]],DataTable[[#This Row],[COGS]]/DataTable[[#This Row],[Units Sold]])</f>
        <v>10</v>
      </c>
    </row>
    <row r="223" spans="1:19" ht="12.75" hidden="1" x14ac:dyDescent="0.2">
      <c r="A223" s="20">
        <v>41791</v>
      </c>
      <c r="B223" t="s">
        <v>396</v>
      </c>
      <c r="C223" t="s">
        <v>388</v>
      </c>
      <c r="D223" t="s">
        <v>359</v>
      </c>
      <c r="E223" t="str">
        <f>VLOOKUP(DataTable[[#This Row],[Country]],Market!B:C,2,FALSE)</f>
        <v>North America</v>
      </c>
      <c r="F223" s="24">
        <v>120</v>
      </c>
      <c r="G223" s="24">
        <v>156520</v>
      </c>
      <c r="H223" s="24">
        <v>350</v>
      </c>
      <c r="I223" s="27">
        <v>602</v>
      </c>
      <c r="J223" s="24">
        <v>210700</v>
      </c>
      <c r="K223" s="24">
        <v>10535</v>
      </c>
      <c r="L223" s="1" t="s">
        <v>124</v>
      </c>
      <c r="M223" s="24">
        <v>200165</v>
      </c>
      <c r="N223" s="24">
        <f t="shared" si="3"/>
        <v>43645</v>
      </c>
      <c r="O223" t="str">
        <f>IF(DataTable[[#This Row],[Profit]]/DataTable[[#This Row],[COGS]]*100&gt;20,"Achived","Not Achived")</f>
        <v>Achived</v>
      </c>
      <c r="P223" s="25">
        <f>DataTable[[#This Row],[Profit]]/DataTable[[#This Row],[COGS]]</f>
        <v>0.27884615384615385</v>
      </c>
      <c r="Q223">
        <f>DataTable[[#This Row],[Manufacturing Price]]*DataTable[[#This Row],[Units Sold]]</f>
        <v>72240</v>
      </c>
      <c r="R223" s="26">
        <f>DataTable[[#This Row],[COGS]]-DataTable[[#This Row],[MC_US]]</f>
        <v>84280</v>
      </c>
      <c r="S223" s="26">
        <f>IF(DataTable[[#This Row],[COGS-MC_US]]&gt;=0,DataTable[[#This Row],[Manufacturing Price]],DataTable[[#This Row],[COGS]]/DataTable[[#This Row],[Units Sold]])</f>
        <v>120</v>
      </c>
    </row>
    <row r="224" spans="1:19" ht="12.75" hidden="1" x14ac:dyDescent="0.2">
      <c r="A224" s="20">
        <v>41852</v>
      </c>
      <c r="B224" t="s">
        <v>396</v>
      </c>
      <c r="C224" t="s">
        <v>388</v>
      </c>
      <c r="D224" t="s">
        <v>359</v>
      </c>
      <c r="E224" t="str">
        <f>VLOOKUP(DataTable[[#This Row],[Country]],Market!B:C,2,FALSE)</f>
        <v>North America</v>
      </c>
      <c r="F224" s="24">
        <v>120</v>
      </c>
      <c r="G224" s="24">
        <v>28320</v>
      </c>
      <c r="H224" s="24">
        <v>20</v>
      </c>
      <c r="I224" s="27">
        <v>2832</v>
      </c>
      <c r="J224" s="24">
        <v>56640</v>
      </c>
      <c r="K224" s="24">
        <v>2832</v>
      </c>
      <c r="L224" s="1" t="s">
        <v>124</v>
      </c>
      <c r="M224" s="24">
        <v>53808</v>
      </c>
      <c r="N224" s="24">
        <f t="shared" si="3"/>
        <v>25488</v>
      </c>
      <c r="O224" t="str">
        <f>IF(DataTable[[#This Row],[Profit]]/DataTable[[#This Row],[COGS]]*100&gt;20,"Achived","Not Achived")</f>
        <v>Achived</v>
      </c>
      <c r="P224" s="25">
        <f>DataTable[[#This Row],[Profit]]/DataTable[[#This Row],[COGS]]</f>
        <v>0.9</v>
      </c>
      <c r="Q224">
        <f>DataTable[[#This Row],[Manufacturing Price]]*DataTable[[#This Row],[Units Sold]]</f>
        <v>339840</v>
      </c>
      <c r="R224" s="26">
        <f>DataTable[[#This Row],[COGS]]-DataTable[[#This Row],[MC_US]]</f>
        <v>-311520</v>
      </c>
      <c r="S224" s="26">
        <f>IF(DataTable[[#This Row],[COGS-MC_US]]&gt;=0,DataTable[[#This Row],[Manufacturing Price]],DataTable[[#This Row],[COGS]]/DataTable[[#This Row],[Units Sold]])</f>
        <v>10</v>
      </c>
    </row>
    <row r="225" spans="1:19" ht="12.75" hidden="1" x14ac:dyDescent="0.2">
      <c r="A225" s="20">
        <v>41579</v>
      </c>
      <c r="B225" t="s">
        <v>397</v>
      </c>
      <c r="C225" t="s">
        <v>388</v>
      </c>
      <c r="D225" t="s">
        <v>359</v>
      </c>
      <c r="E225" t="str">
        <f>VLOOKUP(DataTable[[#This Row],[Country]],Market!B:C,2,FALSE)</f>
        <v>North America</v>
      </c>
      <c r="F225" s="24">
        <v>250</v>
      </c>
      <c r="G225" s="24">
        <v>12650</v>
      </c>
      <c r="H225" s="24">
        <v>20</v>
      </c>
      <c r="I225" s="27">
        <v>1265</v>
      </c>
      <c r="J225" s="24">
        <v>25300</v>
      </c>
      <c r="K225" s="24">
        <v>1265</v>
      </c>
      <c r="L225" s="1" t="s">
        <v>124</v>
      </c>
      <c r="M225" s="24">
        <v>24035</v>
      </c>
      <c r="N225" s="24">
        <f t="shared" si="3"/>
        <v>11385</v>
      </c>
      <c r="O225" t="str">
        <f>IF(DataTable[[#This Row],[Profit]]/DataTable[[#This Row],[COGS]]*100&gt;20,"Achived","Not Achived")</f>
        <v>Achived</v>
      </c>
      <c r="P225" s="25">
        <f>DataTable[[#This Row],[Profit]]/DataTable[[#This Row],[COGS]]</f>
        <v>0.9</v>
      </c>
      <c r="Q225">
        <f>DataTable[[#This Row],[Manufacturing Price]]*DataTable[[#This Row],[Units Sold]]</f>
        <v>316250</v>
      </c>
      <c r="R225" s="26">
        <f>DataTable[[#This Row],[COGS]]-DataTable[[#This Row],[MC_US]]</f>
        <v>-303600</v>
      </c>
      <c r="S225" s="26">
        <f>IF(DataTable[[#This Row],[COGS-MC_US]]&gt;=0,DataTable[[#This Row],[Manufacturing Price]],DataTable[[#This Row],[COGS]]/DataTable[[#This Row],[Units Sold]])</f>
        <v>10</v>
      </c>
    </row>
    <row r="226" spans="1:19" ht="12.75" hidden="1" x14ac:dyDescent="0.2">
      <c r="A226" s="20">
        <v>41974</v>
      </c>
      <c r="B226" t="s">
        <v>397</v>
      </c>
      <c r="C226" t="s">
        <v>388</v>
      </c>
      <c r="D226" t="s">
        <v>359</v>
      </c>
      <c r="E226" t="str">
        <f>VLOOKUP(DataTable[[#This Row],[Country]],Market!B:C,2,FALSE)</f>
        <v>North America</v>
      </c>
      <c r="F226" s="24">
        <v>250</v>
      </c>
      <c r="G226" s="24">
        <v>26630</v>
      </c>
      <c r="H226" s="24">
        <v>20</v>
      </c>
      <c r="I226" s="27">
        <v>2663</v>
      </c>
      <c r="J226" s="24">
        <v>53260</v>
      </c>
      <c r="K226" s="24">
        <v>2663</v>
      </c>
      <c r="L226" s="1" t="s">
        <v>124</v>
      </c>
      <c r="M226" s="24">
        <v>50597</v>
      </c>
      <c r="N226" s="24">
        <f t="shared" si="3"/>
        <v>23967</v>
      </c>
      <c r="O226" t="str">
        <f>IF(DataTable[[#This Row],[Profit]]/DataTable[[#This Row],[COGS]]*100&gt;20,"Achived","Not Achived")</f>
        <v>Achived</v>
      </c>
      <c r="P226" s="25">
        <f>DataTable[[#This Row],[Profit]]/DataTable[[#This Row],[COGS]]</f>
        <v>0.9</v>
      </c>
      <c r="Q226">
        <f>DataTable[[#This Row],[Manufacturing Price]]*DataTable[[#This Row],[Units Sold]]</f>
        <v>665750</v>
      </c>
      <c r="R226" s="26">
        <f>DataTable[[#This Row],[COGS]]-DataTable[[#This Row],[MC_US]]</f>
        <v>-639120</v>
      </c>
      <c r="S226" s="26">
        <f>IF(DataTable[[#This Row],[COGS-MC_US]]&gt;=0,DataTable[[#This Row],[Manufacturing Price]],DataTable[[#This Row],[COGS]]/DataTable[[#This Row],[Units Sold]])</f>
        <v>10</v>
      </c>
    </row>
    <row r="227" spans="1:19" ht="12.75" hidden="1" x14ac:dyDescent="0.2">
      <c r="A227" s="20">
        <v>41974</v>
      </c>
      <c r="B227" t="s">
        <v>397</v>
      </c>
      <c r="C227" t="s">
        <v>388</v>
      </c>
      <c r="D227" t="s">
        <v>359</v>
      </c>
      <c r="E227" t="str">
        <f>VLOOKUP(DataTable[[#This Row],[Country]],Market!B:C,2,FALSE)</f>
        <v>North America</v>
      </c>
      <c r="F227" s="24">
        <v>250</v>
      </c>
      <c r="G227" s="24">
        <v>2850</v>
      </c>
      <c r="H227" s="24">
        <v>7</v>
      </c>
      <c r="I227" s="27">
        <v>570</v>
      </c>
      <c r="J227" s="24">
        <v>3990</v>
      </c>
      <c r="K227" s="24">
        <v>199.5</v>
      </c>
      <c r="L227" s="1" t="s">
        <v>124</v>
      </c>
      <c r="M227" s="24">
        <v>3790.5</v>
      </c>
      <c r="N227" s="24">
        <f t="shared" si="3"/>
        <v>940.5</v>
      </c>
      <c r="O227" t="str">
        <f>IF(DataTable[[#This Row],[Profit]]/DataTable[[#This Row],[COGS]]*100&gt;20,"Achived","Not Achived")</f>
        <v>Achived</v>
      </c>
      <c r="P227" s="25">
        <f>DataTable[[#This Row],[Profit]]/DataTable[[#This Row],[COGS]]</f>
        <v>0.33</v>
      </c>
      <c r="Q227">
        <f>DataTable[[#This Row],[Manufacturing Price]]*DataTable[[#This Row],[Units Sold]]</f>
        <v>142500</v>
      </c>
      <c r="R227" s="26">
        <f>DataTable[[#This Row],[COGS]]-DataTable[[#This Row],[MC_US]]</f>
        <v>-139650</v>
      </c>
      <c r="S227" s="26">
        <f>IF(DataTable[[#This Row],[COGS-MC_US]]&gt;=0,DataTable[[#This Row],[Manufacturing Price]],DataTable[[#This Row],[COGS]]/DataTable[[#This Row],[Units Sold]])</f>
        <v>5</v>
      </c>
    </row>
    <row r="228" spans="1:19" ht="12.75" hidden="1" x14ac:dyDescent="0.2">
      <c r="A228" s="20">
        <v>41640</v>
      </c>
      <c r="B228" t="s">
        <v>389</v>
      </c>
      <c r="C228" t="s">
        <v>388</v>
      </c>
      <c r="D228" t="s">
        <v>359</v>
      </c>
      <c r="E228" t="str">
        <f>VLOOKUP(DataTable[[#This Row],[Country]],Market!B:C,2,FALSE)</f>
        <v>North America</v>
      </c>
      <c r="F228" s="24">
        <v>3</v>
      </c>
      <c r="G228" s="24">
        <v>11175</v>
      </c>
      <c r="H228" s="24">
        <v>20</v>
      </c>
      <c r="I228" s="27">
        <v>1117.5</v>
      </c>
      <c r="J228" s="24">
        <v>22350</v>
      </c>
      <c r="K228" s="24">
        <v>1341</v>
      </c>
      <c r="L228" s="1" t="s">
        <v>124</v>
      </c>
      <c r="M228" s="24">
        <v>21009</v>
      </c>
      <c r="N228" s="24">
        <f t="shared" si="3"/>
        <v>9834</v>
      </c>
      <c r="O228" t="str">
        <f>IF(DataTable[[#This Row],[Profit]]/DataTable[[#This Row],[COGS]]*100&gt;20,"Achived","Not Achived")</f>
        <v>Achived</v>
      </c>
      <c r="P228" s="25">
        <f>DataTable[[#This Row],[Profit]]/DataTable[[#This Row],[COGS]]</f>
        <v>0.88</v>
      </c>
      <c r="Q228">
        <f>DataTable[[#This Row],[Manufacturing Price]]*DataTable[[#This Row],[Units Sold]]</f>
        <v>3352.5</v>
      </c>
      <c r="R228" s="26">
        <f>DataTable[[#This Row],[COGS]]-DataTable[[#This Row],[MC_US]]</f>
        <v>7822.5</v>
      </c>
      <c r="S228" s="26">
        <f>IF(DataTable[[#This Row],[COGS-MC_US]]&gt;=0,DataTable[[#This Row],[Manufacturing Price]],DataTable[[#This Row],[COGS]]/DataTable[[#This Row],[Units Sold]])</f>
        <v>3</v>
      </c>
    </row>
    <row r="229" spans="1:19" ht="12.75" hidden="1" x14ac:dyDescent="0.2">
      <c r="A229" s="20">
        <v>41579</v>
      </c>
      <c r="B229" t="s">
        <v>389</v>
      </c>
      <c r="C229" t="s">
        <v>388</v>
      </c>
      <c r="D229" t="s">
        <v>359</v>
      </c>
      <c r="E229" t="str">
        <f>VLOOKUP(DataTable[[#This Row],[Country]],Market!B:C,2,FALSE)</f>
        <v>North America</v>
      </c>
      <c r="F229" s="24">
        <v>3</v>
      </c>
      <c r="G229" s="24">
        <v>1315</v>
      </c>
      <c r="H229" s="24">
        <v>7</v>
      </c>
      <c r="I229" s="27">
        <v>263</v>
      </c>
      <c r="J229" s="24">
        <v>1841</v>
      </c>
      <c r="K229" s="24">
        <v>110.46</v>
      </c>
      <c r="L229" s="1" t="s">
        <v>124</v>
      </c>
      <c r="M229" s="24">
        <v>1730.54</v>
      </c>
      <c r="N229" s="24">
        <f t="shared" si="3"/>
        <v>415.53999999999996</v>
      </c>
      <c r="O229" t="str">
        <f>IF(DataTable[[#This Row],[Profit]]/DataTable[[#This Row],[COGS]]*100&gt;20,"Achived","Not Achived")</f>
        <v>Achived</v>
      </c>
      <c r="P229" s="25">
        <f>DataTable[[#This Row],[Profit]]/DataTable[[#This Row],[COGS]]</f>
        <v>0.31599999999999995</v>
      </c>
      <c r="Q229">
        <f>DataTable[[#This Row],[Manufacturing Price]]*DataTable[[#This Row],[Units Sold]]</f>
        <v>789</v>
      </c>
      <c r="R229" s="26">
        <f>DataTable[[#This Row],[COGS]]-DataTable[[#This Row],[MC_US]]</f>
        <v>526</v>
      </c>
      <c r="S229" s="26">
        <f>IF(DataTable[[#This Row],[COGS-MC_US]]&gt;=0,DataTable[[#This Row],[Manufacturing Price]],DataTable[[#This Row],[COGS]]/DataTable[[#This Row],[Units Sold]])</f>
        <v>3</v>
      </c>
    </row>
    <row r="230" spans="1:19" ht="12.75" hidden="1" x14ac:dyDescent="0.2">
      <c r="A230" s="20">
        <v>41548</v>
      </c>
      <c r="B230" t="s">
        <v>395</v>
      </c>
      <c r="C230" t="s">
        <v>388</v>
      </c>
      <c r="D230" t="s">
        <v>359</v>
      </c>
      <c r="E230" t="str">
        <f>VLOOKUP(DataTable[[#This Row],[Country]],Market!B:C,2,FALSE)</f>
        <v>North America</v>
      </c>
      <c r="F230" s="24">
        <v>10</v>
      </c>
      <c r="G230" s="24">
        <v>189020</v>
      </c>
      <c r="H230" s="24">
        <v>350</v>
      </c>
      <c r="I230" s="27">
        <v>727</v>
      </c>
      <c r="J230" s="24">
        <v>254450</v>
      </c>
      <c r="K230" s="24">
        <v>15267</v>
      </c>
      <c r="L230" s="1" t="s">
        <v>124</v>
      </c>
      <c r="M230" s="24">
        <v>239183</v>
      </c>
      <c r="N230" s="24">
        <f t="shared" si="3"/>
        <v>50163</v>
      </c>
      <c r="O230" t="str">
        <f>IF(DataTable[[#This Row],[Profit]]/DataTable[[#This Row],[COGS]]*100&gt;20,"Achived","Not Achived")</f>
        <v>Achived</v>
      </c>
      <c r="P230" s="25">
        <f>DataTable[[#This Row],[Profit]]/DataTable[[#This Row],[COGS]]</f>
        <v>0.26538461538461539</v>
      </c>
      <c r="Q230">
        <f>DataTable[[#This Row],[Manufacturing Price]]*DataTable[[#This Row],[Units Sold]]</f>
        <v>7270</v>
      </c>
      <c r="R230" s="26">
        <f>DataTable[[#This Row],[COGS]]-DataTable[[#This Row],[MC_US]]</f>
        <v>181750</v>
      </c>
      <c r="S230" s="26">
        <f>IF(DataTable[[#This Row],[COGS-MC_US]]&gt;=0,DataTable[[#This Row],[Manufacturing Price]],DataTable[[#This Row],[COGS]]/DataTable[[#This Row],[Units Sold]])</f>
        <v>10</v>
      </c>
    </row>
    <row r="231" spans="1:19" ht="12.75" hidden="1" x14ac:dyDescent="0.2">
      <c r="A231" s="20">
        <v>41548</v>
      </c>
      <c r="B231" t="s">
        <v>398</v>
      </c>
      <c r="C231" t="s">
        <v>388</v>
      </c>
      <c r="D231" t="s">
        <v>359</v>
      </c>
      <c r="E231" t="str">
        <f>VLOOKUP(DataTable[[#This Row],[Country]],Market!B:C,2,FALSE)</f>
        <v>North America</v>
      </c>
      <c r="F231" s="24">
        <v>260</v>
      </c>
      <c r="G231" s="24">
        <v>189020</v>
      </c>
      <c r="H231" s="24">
        <v>350</v>
      </c>
      <c r="I231" s="27">
        <v>727</v>
      </c>
      <c r="J231" s="24">
        <v>254450</v>
      </c>
      <c r="K231" s="24">
        <v>15267</v>
      </c>
      <c r="L231" s="1" t="s">
        <v>124</v>
      </c>
      <c r="M231" s="24">
        <v>239183</v>
      </c>
      <c r="N231" s="24">
        <f t="shared" si="3"/>
        <v>50163</v>
      </c>
      <c r="O231" t="str">
        <f>IF(DataTable[[#This Row],[Profit]]/DataTable[[#This Row],[COGS]]*100&gt;20,"Achived","Not Achived")</f>
        <v>Achived</v>
      </c>
      <c r="P231" s="25">
        <f>DataTable[[#This Row],[Profit]]/DataTable[[#This Row],[COGS]]</f>
        <v>0.26538461538461539</v>
      </c>
      <c r="Q231">
        <f>DataTable[[#This Row],[Manufacturing Price]]*DataTable[[#This Row],[Units Sold]]</f>
        <v>189020</v>
      </c>
      <c r="R231" s="26">
        <f>DataTable[[#This Row],[COGS]]-DataTable[[#This Row],[MC_US]]</f>
        <v>0</v>
      </c>
      <c r="S231" s="26">
        <f>IF(DataTable[[#This Row],[COGS-MC_US]]&gt;=0,DataTable[[#This Row],[Manufacturing Price]],DataTable[[#This Row],[COGS]]/DataTable[[#This Row],[Units Sold]])</f>
        <v>260</v>
      </c>
    </row>
    <row r="232" spans="1:19" ht="12.75" hidden="1" x14ac:dyDescent="0.2">
      <c r="A232" s="20">
        <v>41944</v>
      </c>
      <c r="B232" t="s">
        <v>396</v>
      </c>
      <c r="C232" t="s">
        <v>388</v>
      </c>
      <c r="D232" t="s">
        <v>359</v>
      </c>
      <c r="E232" t="str">
        <f>VLOOKUP(DataTable[[#This Row],[Country]],Market!B:C,2,FALSE)</f>
        <v>North America</v>
      </c>
      <c r="F232" s="24">
        <v>120</v>
      </c>
      <c r="G232" s="24">
        <v>2735</v>
      </c>
      <c r="H232" s="24">
        <v>7</v>
      </c>
      <c r="I232" s="27">
        <v>547</v>
      </c>
      <c r="J232" s="24">
        <v>3829</v>
      </c>
      <c r="K232" s="24">
        <v>268.02999999999997</v>
      </c>
      <c r="L232" s="1" t="s">
        <v>124</v>
      </c>
      <c r="M232" s="24">
        <v>3560.97</v>
      </c>
      <c r="N232" s="24">
        <f t="shared" si="3"/>
        <v>825.9699999999998</v>
      </c>
      <c r="O232" t="str">
        <f>IF(DataTable[[#This Row],[Profit]]/DataTable[[#This Row],[COGS]]*100&gt;20,"Achived","Not Achived")</f>
        <v>Achived</v>
      </c>
      <c r="P232" s="25">
        <f>DataTable[[#This Row],[Profit]]/DataTable[[#This Row],[COGS]]</f>
        <v>0.30199999999999994</v>
      </c>
      <c r="Q232">
        <f>DataTable[[#This Row],[Manufacturing Price]]*DataTable[[#This Row],[Units Sold]]</f>
        <v>65640</v>
      </c>
      <c r="R232" s="26">
        <f>DataTable[[#This Row],[COGS]]-DataTable[[#This Row],[MC_US]]</f>
        <v>-62905</v>
      </c>
      <c r="S232" s="26">
        <f>IF(DataTable[[#This Row],[COGS-MC_US]]&gt;=0,DataTable[[#This Row],[Manufacturing Price]],DataTable[[#This Row],[COGS]]/DataTable[[#This Row],[Units Sold]])</f>
        <v>5</v>
      </c>
    </row>
    <row r="233" spans="1:19" ht="12.75" hidden="1" x14ac:dyDescent="0.2">
      <c r="A233" s="20">
        <v>41699</v>
      </c>
      <c r="B233" t="s">
        <v>389</v>
      </c>
      <c r="C233" t="s">
        <v>388</v>
      </c>
      <c r="D233" t="s">
        <v>359</v>
      </c>
      <c r="E233" t="str">
        <f>VLOOKUP(DataTable[[#This Row],[Country]],Market!B:C,2,FALSE)</f>
        <v>North America</v>
      </c>
      <c r="F233" s="24">
        <v>3</v>
      </c>
      <c r="G233" s="24">
        <v>457860</v>
      </c>
      <c r="H233" s="24">
        <v>350</v>
      </c>
      <c r="I233" s="27">
        <v>1761</v>
      </c>
      <c r="J233" s="24">
        <v>616350</v>
      </c>
      <c r="K233" s="24">
        <v>43144.5</v>
      </c>
      <c r="L233" s="1" t="s">
        <v>124</v>
      </c>
      <c r="M233" s="24">
        <v>573205.5</v>
      </c>
      <c r="N233" s="24">
        <f t="shared" si="3"/>
        <v>115345.5</v>
      </c>
      <c r="O233" t="str">
        <f>IF(DataTable[[#This Row],[Profit]]/DataTable[[#This Row],[COGS]]*100&gt;20,"Achived","Not Achived")</f>
        <v>Achived</v>
      </c>
      <c r="P233" s="25">
        <f>DataTable[[#This Row],[Profit]]/DataTable[[#This Row],[COGS]]</f>
        <v>0.25192307692307692</v>
      </c>
      <c r="Q233">
        <f>DataTable[[#This Row],[Manufacturing Price]]*DataTable[[#This Row],[Units Sold]]</f>
        <v>5283</v>
      </c>
      <c r="R233" s="26">
        <f>DataTable[[#This Row],[COGS]]-DataTable[[#This Row],[MC_US]]</f>
        <v>452577</v>
      </c>
      <c r="S233" s="26">
        <f>IF(DataTable[[#This Row],[COGS-MC_US]]&gt;=0,DataTable[[#This Row],[Manufacturing Price]],DataTable[[#This Row],[COGS]]/DataTable[[#This Row],[Units Sold]])</f>
        <v>3</v>
      </c>
    </row>
    <row r="234" spans="1:19" ht="12.75" hidden="1" x14ac:dyDescent="0.2">
      <c r="A234" s="20">
        <v>41609</v>
      </c>
      <c r="B234" t="s">
        <v>396</v>
      </c>
      <c r="C234" t="s">
        <v>388</v>
      </c>
      <c r="D234" t="s">
        <v>359</v>
      </c>
      <c r="E234" t="str">
        <f>VLOOKUP(DataTable[[#This Row],[Country]],Market!B:C,2,FALSE)</f>
        <v>North America</v>
      </c>
      <c r="F234" s="24">
        <v>120</v>
      </c>
      <c r="G234" s="24">
        <v>14210</v>
      </c>
      <c r="H234" s="24">
        <v>20</v>
      </c>
      <c r="I234" s="27">
        <v>1421</v>
      </c>
      <c r="J234" s="24">
        <v>28420</v>
      </c>
      <c r="K234" s="24">
        <v>1989.4</v>
      </c>
      <c r="L234" s="1" t="s">
        <v>124</v>
      </c>
      <c r="M234" s="24">
        <v>26430.6</v>
      </c>
      <c r="N234" s="24">
        <f t="shared" si="3"/>
        <v>12220.599999999999</v>
      </c>
      <c r="O234" t="str">
        <f>IF(DataTable[[#This Row],[Profit]]/DataTable[[#This Row],[COGS]]*100&gt;20,"Achived","Not Achived")</f>
        <v>Achived</v>
      </c>
      <c r="P234" s="25">
        <f>DataTable[[#This Row],[Profit]]/DataTable[[#This Row],[COGS]]</f>
        <v>0.85999999999999988</v>
      </c>
      <c r="Q234">
        <f>DataTable[[#This Row],[Manufacturing Price]]*DataTable[[#This Row],[Units Sold]]</f>
        <v>170520</v>
      </c>
      <c r="R234" s="26">
        <f>DataTable[[#This Row],[COGS]]-DataTable[[#This Row],[MC_US]]</f>
        <v>-156310</v>
      </c>
      <c r="S234" s="26">
        <f>IF(DataTable[[#This Row],[COGS-MC_US]]&gt;=0,DataTable[[#This Row],[Manufacturing Price]],DataTable[[#This Row],[COGS]]/DataTable[[#This Row],[Units Sold]])</f>
        <v>10</v>
      </c>
    </row>
    <row r="235" spans="1:19" ht="12.75" hidden="1" x14ac:dyDescent="0.2">
      <c r="A235" s="20">
        <v>41791</v>
      </c>
      <c r="B235" t="s">
        <v>391</v>
      </c>
      <c r="C235" t="s">
        <v>388</v>
      </c>
      <c r="D235" t="s">
        <v>359</v>
      </c>
      <c r="E235" t="str">
        <f>VLOOKUP(DataTable[[#This Row],[Country]],Market!B:C,2,FALSE)</f>
        <v>North America</v>
      </c>
      <c r="F235" s="24">
        <v>5</v>
      </c>
      <c r="G235" s="24">
        <v>12820</v>
      </c>
      <c r="H235" s="24">
        <v>20</v>
      </c>
      <c r="I235" s="27">
        <v>1282</v>
      </c>
      <c r="J235" s="24">
        <v>25640</v>
      </c>
      <c r="K235" s="24">
        <v>2051.1999999999998</v>
      </c>
      <c r="L235" s="1" t="s">
        <v>124</v>
      </c>
      <c r="M235" s="24">
        <v>23588.799999999999</v>
      </c>
      <c r="N235" s="24">
        <f t="shared" si="3"/>
        <v>10768.8</v>
      </c>
      <c r="O235" t="str">
        <f>IF(DataTable[[#This Row],[Profit]]/DataTable[[#This Row],[COGS]]*100&gt;20,"Achived","Not Achived")</f>
        <v>Achived</v>
      </c>
      <c r="P235" s="25">
        <f>DataTable[[#This Row],[Profit]]/DataTable[[#This Row],[COGS]]</f>
        <v>0.84</v>
      </c>
      <c r="Q235">
        <f>DataTable[[#This Row],[Manufacturing Price]]*DataTable[[#This Row],[Units Sold]]</f>
        <v>6410</v>
      </c>
      <c r="R235" s="26">
        <f>DataTable[[#This Row],[COGS]]-DataTable[[#This Row],[MC_US]]</f>
        <v>6410</v>
      </c>
      <c r="S235" s="26">
        <f>IF(DataTable[[#This Row],[COGS-MC_US]]&gt;=0,DataTable[[#This Row],[Manufacturing Price]],DataTable[[#This Row],[COGS]]/DataTable[[#This Row],[Units Sold]])</f>
        <v>5</v>
      </c>
    </row>
    <row r="236" spans="1:19" ht="12.75" hidden="1" x14ac:dyDescent="0.2">
      <c r="A236" s="20">
        <v>41791</v>
      </c>
      <c r="B236" t="s">
        <v>398</v>
      </c>
      <c r="C236" t="s">
        <v>388</v>
      </c>
      <c r="D236" t="s">
        <v>359</v>
      </c>
      <c r="E236" t="str">
        <f>VLOOKUP(DataTable[[#This Row],[Country]],Market!B:C,2,FALSE)</f>
        <v>North America</v>
      </c>
      <c r="F236" s="24">
        <v>260</v>
      </c>
      <c r="G236" s="24">
        <v>12820</v>
      </c>
      <c r="H236" s="24">
        <v>20</v>
      </c>
      <c r="I236" s="27">
        <v>1282</v>
      </c>
      <c r="J236" s="24">
        <v>25640</v>
      </c>
      <c r="K236" s="24">
        <v>2051.1999999999998</v>
      </c>
      <c r="L236" s="1" t="s">
        <v>124</v>
      </c>
      <c r="M236" s="24">
        <v>23588.799999999999</v>
      </c>
      <c r="N236" s="24">
        <f t="shared" si="3"/>
        <v>10768.8</v>
      </c>
      <c r="O236" t="str">
        <f>IF(DataTable[[#This Row],[Profit]]/DataTable[[#This Row],[COGS]]*100&gt;20,"Achived","Not Achived")</f>
        <v>Achived</v>
      </c>
      <c r="P236" s="25">
        <f>DataTable[[#This Row],[Profit]]/DataTable[[#This Row],[COGS]]</f>
        <v>0.84</v>
      </c>
      <c r="Q236">
        <f>DataTable[[#This Row],[Manufacturing Price]]*DataTable[[#This Row],[Units Sold]]</f>
        <v>333320</v>
      </c>
      <c r="R236" s="26">
        <f>DataTable[[#This Row],[COGS]]-DataTable[[#This Row],[MC_US]]</f>
        <v>-320500</v>
      </c>
      <c r="S236" s="26">
        <f>IF(DataTable[[#This Row],[COGS-MC_US]]&gt;=0,DataTable[[#This Row],[Manufacturing Price]],DataTable[[#This Row],[COGS]]/DataTable[[#This Row],[Units Sold]])</f>
        <v>10</v>
      </c>
    </row>
    <row r="237" spans="1:19" ht="12.75" hidden="1" x14ac:dyDescent="0.2">
      <c r="A237" s="20">
        <v>41852</v>
      </c>
      <c r="B237" t="s">
        <v>395</v>
      </c>
      <c r="C237" t="s">
        <v>388</v>
      </c>
      <c r="D237" t="s">
        <v>359</v>
      </c>
      <c r="E237" t="str">
        <f>VLOOKUP(DataTable[[#This Row],[Country]],Market!B:C,2,FALSE)</f>
        <v>North America</v>
      </c>
      <c r="F237" s="24">
        <v>10</v>
      </c>
      <c r="G237" s="24">
        <v>3390</v>
      </c>
      <c r="H237" s="24">
        <v>7</v>
      </c>
      <c r="I237" s="27">
        <v>678</v>
      </c>
      <c r="J237" s="24">
        <v>4746</v>
      </c>
      <c r="K237" s="24">
        <v>379.68</v>
      </c>
      <c r="L237" s="1" t="s">
        <v>124</v>
      </c>
      <c r="M237" s="24">
        <v>4366.32</v>
      </c>
      <c r="N237" s="24">
        <f t="shared" si="3"/>
        <v>976.31999999999971</v>
      </c>
      <c r="O237" t="str">
        <f>IF(DataTable[[#This Row],[Profit]]/DataTable[[#This Row],[COGS]]*100&gt;20,"Achived","Not Achived")</f>
        <v>Achived</v>
      </c>
      <c r="P237" s="25">
        <f>DataTable[[#This Row],[Profit]]/DataTable[[#This Row],[COGS]]</f>
        <v>0.28799999999999992</v>
      </c>
      <c r="Q237">
        <f>DataTable[[#This Row],[Manufacturing Price]]*DataTable[[#This Row],[Units Sold]]</f>
        <v>6780</v>
      </c>
      <c r="R237" s="26">
        <f>DataTable[[#This Row],[COGS]]-DataTable[[#This Row],[MC_US]]</f>
        <v>-3390</v>
      </c>
      <c r="S237" s="26">
        <f>IF(DataTable[[#This Row],[COGS-MC_US]]&gt;=0,DataTable[[#This Row],[Manufacturing Price]],DataTable[[#This Row],[COGS]]/DataTable[[#This Row],[Units Sold]])</f>
        <v>5</v>
      </c>
    </row>
    <row r="238" spans="1:19" ht="12.75" hidden="1" x14ac:dyDescent="0.2">
      <c r="A238" s="20">
        <v>41791</v>
      </c>
      <c r="B238" t="s">
        <v>396</v>
      </c>
      <c r="C238" t="s">
        <v>388</v>
      </c>
      <c r="D238" t="s">
        <v>359</v>
      </c>
      <c r="E238" t="str">
        <f>VLOOKUP(DataTable[[#This Row],[Country]],Market!B:C,2,FALSE)</f>
        <v>North America</v>
      </c>
      <c r="F238" s="24">
        <v>120</v>
      </c>
      <c r="G238" s="24">
        <v>14535</v>
      </c>
      <c r="H238" s="24">
        <v>7</v>
      </c>
      <c r="I238" s="27">
        <v>2907</v>
      </c>
      <c r="J238" s="24">
        <v>20349</v>
      </c>
      <c r="K238" s="24">
        <v>1627.92</v>
      </c>
      <c r="L238" s="1" t="s">
        <v>124</v>
      </c>
      <c r="M238" s="24">
        <v>18721.080000000002</v>
      </c>
      <c r="N238" s="24">
        <f t="shared" si="3"/>
        <v>4186.0800000000017</v>
      </c>
      <c r="O238" t="str">
        <f>IF(DataTable[[#This Row],[Profit]]/DataTable[[#This Row],[COGS]]*100&gt;20,"Achived","Not Achived")</f>
        <v>Achived</v>
      </c>
      <c r="P238" s="25">
        <f>DataTable[[#This Row],[Profit]]/DataTable[[#This Row],[COGS]]</f>
        <v>0.28800000000000014</v>
      </c>
      <c r="Q238">
        <f>DataTable[[#This Row],[Manufacturing Price]]*DataTable[[#This Row],[Units Sold]]</f>
        <v>348840</v>
      </c>
      <c r="R238" s="26">
        <f>DataTable[[#This Row],[COGS]]-DataTable[[#This Row],[MC_US]]</f>
        <v>-334305</v>
      </c>
      <c r="S238" s="26">
        <f>IF(DataTable[[#This Row],[COGS-MC_US]]&gt;=0,DataTable[[#This Row],[Manufacturing Price]],DataTable[[#This Row],[COGS]]/DataTable[[#This Row],[Units Sold]])</f>
        <v>5</v>
      </c>
    </row>
    <row r="239" spans="1:19" ht="12.75" hidden="1" x14ac:dyDescent="0.2">
      <c r="A239" s="20">
        <v>41791</v>
      </c>
      <c r="B239" t="s">
        <v>398</v>
      </c>
      <c r="C239" t="s">
        <v>388</v>
      </c>
      <c r="D239" t="s">
        <v>359</v>
      </c>
      <c r="E239" t="str">
        <f>VLOOKUP(DataTable[[#This Row],[Country]],Market!B:C,2,FALSE)</f>
        <v>North America</v>
      </c>
      <c r="F239" s="24">
        <v>260</v>
      </c>
      <c r="G239" s="24">
        <v>14535</v>
      </c>
      <c r="H239" s="24">
        <v>7</v>
      </c>
      <c r="I239" s="27">
        <v>2907</v>
      </c>
      <c r="J239" s="24">
        <v>20349</v>
      </c>
      <c r="K239" s="24">
        <v>1627.92</v>
      </c>
      <c r="L239" s="1" t="s">
        <v>124</v>
      </c>
      <c r="M239" s="24">
        <v>18721.080000000002</v>
      </c>
      <c r="N239" s="24">
        <f t="shared" si="3"/>
        <v>4186.0800000000017</v>
      </c>
      <c r="O239" t="str">
        <f>IF(DataTable[[#This Row],[Profit]]/DataTable[[#This Row],[COGS]]*100&gt;20,"Achived","Not Achived")</f>
        <v>Achived</v>
      </c>
      <c r="P239" s="25">
        <f>DataTable[[#This Row],[Profit]]/DataTable[[#This Row],[COGS]]</f>
        <v>0.28800000000000014</v>
      </c>
      <c r="Q239">
        <f>DataTable[[#This Row],[Manufacturing Price]]*DataTable[[#This Row],[Units Sold]]</f>
        <v>755820</v>
      </c>
      <c r="R239" s="26">
        <f>DataTable[[#This Row],[COGS]]-DataTable[[#This Row],[MC_US]]</f>
        <v>-741285</v>
      </c>
      <c r="S239" s="26">
        <f>IF(DataTable[[#This Row],[COGS-MC_US]]&gt;=0,DataTable[[#This Row],[Manufacturing Price]],DataTable[[#This Row],[COGS]]/DataTable[[#This Row],[Units Sold]])</f>
        <v>5</v>
      </c>
    </row>
    <row r="240" spans="1:19" ht="12.75" hidden="1" x14ac:dyDescent="0.2">
      <c r="A240" s="20">
        <v>41821</v>
      </c>
      <c r="B240" t="s">
        <v>397</v>
      </c>
      <c r="C240" t="s">
        <v>388</v>
      </c>
      <c r="D240" t="s">
        <v>359</v>
      </c>
      <c r="E240" t="str">
        <f>VLOOKUP(DataTable[[#This Row],[Country]],Market!B:C,2,FALSE)</f>
        <v>North America</v>
      </c>
      <c r="F240" s="24">
        <v>250</v>
      </c>
      <c r="G240" s="24">
        <v>4365</v>
      </c>
      <c r="H240" s="24">
        <v>20</v>
      </c>
      <c r="I240" s="27">
        <v>436.5</v>
      </c>
      <c r="J240" s="24">
        <v>8730</v>
      </c>
      <c r="K240" s="24">
        <v>698.4</v>
      </c>
      <c r="L240" s="1" t="s">
        <v>124</v>
      </c>
      <c r="M240" s="24">
        <v>8031.6</v>
      </c>
      <c r="N240" s="24">
        <f t="shared" si="3"/>
        <v>3666.6000000000004</v>
      </c>
      <c r="O240" t="str">
        <f>IF(DataTable[[#This Row],[Profit]]/DataTable[[#This Row],[COGS]]*100&gt;20,"Achived","Not Achived")</f>
        <v>Achived</v>
      </c>
      <c r="P240" s="25">
        <f>DataTable[[#This Row],[Profit]]/DataTable[[#This Row],[COGS]]</f>
        <v>0.84000000000000008</v>
      </c>
      <c r="Q240">
        <f>DataTable[[#This Row],[Manufacturing Price]]*DataTable[[#This Row],[Units Sold]]</f>
        <v>109125</v>
      </c>
      <c r="R240" s="26">
        <f>DataTable[[#This Row],[COGS]]-DataTable[[#This Row],[MC_US]]</f>
        <v>-104760</v>
      </c>
      <c r="S240" s="26">
        <f>IF(DataTable[[#This Row],[COGS-MC_US]]&gt;=0,DataTable[[#This Row],[Manufacturing Price]],DataTable[[#This Row],[COGS]]/DataTable[[#This Row],[Units Sold]])</f>
        <v>10</v>
      </c>
    </row>
    <row r="241" spans="1:19" ht="12.75" hidden="1" x14ac:dyDescent="0.2">
      <c r="A241" s="20">
        <v>41730</v>
      </c>
      <c r="B241" t="s">
        <v>397</v>
      </c>
      <c r="C241" t="s">
        <v>388</v>
      </c>
      <c r="D241" t="s">
        <v>359</v>
      </c>
      <c r="E241" t="str">
        <f>VLOOKUP(DataTable[[#This Row],[Country]],Market!B:C,2,FALSE)</f>
        <v>North America</v>
      </c>
      <c r="F241" s="24">
        <v>250</v>
      </c>
      <c r="G241" s="24">
        <v>351390</v>
      </c>
      <c r="H241" s="24">
        <v>350</v>
      </c>
      <c r="I241" s="27">
        <v>1351.5</v>
      </c>
      <c r="J241" s="24">
        <v>473025</v>
      </c>
      <c r="K241" s="24">
        <v>42572.25</v>
      </c>
      <c r="L241" s="1" t="s">
        <v>124</v>
      </c>
      <c r="M241" s="24">
        <v>430452.75</v>
      </c>
      <c r="N241" s="24">
        <f t="shared" si="3"/>
        <v>79062.75</v>
      </c>
      <c r="O241" t="str">
        <f>IF(DataTable[[#This Row],[Profit]]/DataTable[[#This Row],[COGS]]*100&gt;20,"Achived","Not Achived")</f>
        <v>Achived</v>
      </c>
      <c r="P241" s="25">
        <f>DataTable[[#This Row],[Profit]]/DataTable[[#This Row],[COGS]]</f>
        <v>0.22500000000000001</v>
      </c>
      <c r="Q241">
        <f>DataTable[[#This Row],[Manufacturing Price]]*DataTable[[#This Row],[Units Sold]]</f>
        <v>337875</v>
      </c>
      <c r="R241" s="26">
        <f>DataTable[[#This Row],[COGS]]-DataTable[[#This Row],[MC_US]]</f>
        <v>13515</v>
      </c>
      <c r="S241" s="26">
        <f>IF(DataTable[[#This Row],[COGS-MC_US]]&gt;=0,DataTable[[#This Row],[Manufacturing Price]],DataTable[[#This Row],[COGS]]/DataTable[[#This Row],[Units Sold]])</f>
        <v>250</v>
      </c>
    </row>
    <row r="242" spans="1:19" ht="12.75" hidden="1" x14ac:dyDescent="0.2">
      <c r="A242" s="20">
        <v>41883</v>
      </c>
      <c r="B242" t="s">
        <v>398</v>
      </c>
      <c r="C242" t="s">
        <v>388</v>
      </c>
      <c r="D242" t="s">
        <v>359</v>
      </c>
      <c r="E242" t="str">
        <f>VLOOKUP(DataTable[[#This Row],[Country]],Market!B:C,2,FALSE)</f>
        <v>North America</v>
      </c>
      <c r="F242" s="24">
        <v>260</v>
      </c>
      <c r="G242" s="24">
        <v>538460</v>
      </c>
      <c r="H242" s="24">
        <v>350</v>
      </c>
      <c r="I242" s="27">
        <v>2071</v>
      </c>
      <c r="J242" s="24">
        <v>724850</v>
      </c>
      <c r="K242" s="24">
        <v>65236.5</v>
      </c>
      <c r="L242" s="1" t="s">
        <v>124</v>
      </c>
      <c r="M242" s="24">
        <v>659613.5</v>
      </c>
      <c r="N242" s="24">
        <f t="shared" si="3"/>
        <v>121153.5</v>
      </c>
      <c r="O242" t="str">
        <f>IF(DataTable[[#This Row],[Profit]]/DataTable[[#This Row],[COGS]]*100&gt;20,"Achived","Not Achived")</f>
        <v>Achived</v>
      </c>
      <c r="P242" s="25">
        <f>DataTable[[#This Row],[Profit]]/DataTable[[#This Row],[COGS]]</f>
        <v>0.22500000000000001</v>
      </c>
      <c r="Q242">
        <f>DataTable[[#This Row],[Manufacturing Price]]*DataTable[[#This Row],[Units Sold]]</f>
        <v>538460</v>
      </c>
      <c r="R242" s="26">
        <f>DataTable[[#This Row],[COGS]]-DataTable[[#This Row],[MC_US]]</f>
        <v>0</v>
      </c>
      <c r="S242" s="26">
        <f>IF(DataTable[[#This Row],[COGS-MC_US]]&gt;=0,DataTable[[#This Row],[Manufacturing Price]],DataTable[[#This Row],[COGS]]/DataTable[[#This Row],[Units Sold]])</f>
        <v>260</v>
      </c>
    </row>
    <row r="243" spans="1:19" ht="12.75" hidden="1" x14ac:dyDescent="0.2">
      <c r="A243" s="20">
        <v>41699</v>
      </c>
      <c r="B243" t="s">
        <v>395</v>
      </c>
      <c r="C243" t="s">
        <v>388</v>
      </c>
      <c r="D243" t="s">
        <v>359</v>
      </c>
      <c r="E243" t="str">
        <f>VLOOKUP(DataTable[[#This Row],[Country]],Market!B:C,2,FALSE)</f>
        <v>North America</v>
      </c>
      <c r="F243" s="24">
        <v>10</v>
      </c>
      <c r="G243" s="24">
        <v>9730</v>
      </c>
      <c r="H243" s="24">
        <v>20</v>
      </c>
      <c r="I243" s="27">
        <v>973</v>
      </c>
      <c r="J243" s="24">
        <v>19460</v>
      </c>
      <c r="K243" s="24">
        <v>1751.4</v>
      </c>
      <c r="L243" s="1" t="s">
        <v>124</v>
      </c>
      <c r="M243" s="24">
        <v>17708.599999999999</v>
      </c>
      <c r="N243" s="24">
        <f t="shared" si="3"/>
        <v>7978.5999999999985</v>
      </c>
      <c r="O243" t="str">
        <f>IF(DataTable[[#This Row],[Profit]]/DataTable[[#This Row],[COGS]]*100&gt;20,"Achived","Not Achived")</f>
        <v>Achived</v>
      </c>
      <c r="P243" s="25">
        <f>DataTable[[#This Row],[Profit]]/DataTable[[#This Row],[COGS]]</f>
        <v>0.81999999999999984</v>
      </c>
      <c r="Q243">
        <f>DataTable[[#This Row],[Manufacturing Price]]*DataTable[[#This Row],[Units Sold]]</f>
        <v>9730</v>
      </c>
      <c r="R243" s="26">
        <f>DataTable[[#This Row],[COGS]]-DataTable[[#This Row],[MC_US]]</f>
        <v>0</v>
      </c>
      <c r="S243" s="26">
        <f>IF(DataTable[[#This Row],[COGS-MC_US]]&gt;=0,DataTable[[#This Row],[Manufacturing Price]],DataTable[[#This Row],[COGS]]/DataTable[[#This Row],[Units Sold]])</f>
        <v>10</v>
      </c>
    </row>
    <row r="244" spans="1:19" ht="12.75" x14ac:dyDescent="0.2">
      <c r="A244" s="20">
        <v>41883</v>
      </c>
      <c r="B244" t="s">
        <v>391</v>
      </c>
      <c r="C244" t="s">
        <v>388</v>
      </c>
      <c r="D244" t="s">
        <v>359</v>
      </c>
      <c r="E244" t="str">
        <f>VLOOKUP(DataTable[[#This Row],[Country]],Market!B:C,2,FALSE)</f>
        <v>North America</v>
      </c>
      <c r="F244" s="24">
        <v>5</v>
      </c>
      <c r="G244" s="24">
        <v>11640</v>
      </c>
      <c r="H244" s="24">
        <v>7</v>
      </c>
      <c r="I244" s="27">
        <v>2328</v>
      </c>
      <c r="J244" s="24">
        <v>16296</v>
      </c>
      <c r="K244" s="24">
        <v>1629.6</v>
      </c>
      <c r="L244" s="1" t="s">
        <v>158</v>
      </c>
      <c r="M244" s="24">
        <v>14666.4</v>
      </c>
      <c r="N244" s="24">
        <f t="shared" si="3"/>
        <v>3026.3999999999996</v>
      </c>
      <c r="O244" t="str">
        <f>IF(DataTable[[#This Row],[Profit]]/DataTable[[#This Row],[COGS]]*100&gt;20,"Achived","Not Achived")</f>
        <v>Achived</v>
      </c>
      <c r="P244" s="25">
        <f>DataTable[[#This Row],[Profit]]/DataTable[[#This Row],[COGS]]</f>
        <v>0.25999999999999995</v>
      </c>
      <c r="Q244">
        <f>DataTable[[#This Row],[Manufacturing Price]]*DataTable[[#This Row],[Units Sold]]</f>
        <v>11640</v>
      </c>
      <c r="R244" s="26">
        <f>DataTable[[#This Row],[COGS]]-DataTable[[#This Row],[MC_US]]</f>
        <v>0</v>
      </c>
      <c r="S244" s="26">
        <f>IF(DataTable[[#This Row],[COGS-MC_US]]&gt;=0,DataTable[[#This Row],[Manufacturing Price]],DataTable[[#This Row],[COGS]]/DataTable[[#This Row],[Units Sold]])</f>
        <v>5</v>
      </c>
    </row>
    <row r="245" spans="1:19" ht="12.75" x14ac:dyDescent="0.2">
      <c r="A245" s="20">
        <v>41760</v>
      </c>
      <c r="B245" t="s">
        <v>391</v>
      </c>
      <c r="C245" t="s">
        <v>388</v>
      </c>
      <c r="D245" t="s">
        <v>359</v>
      </c>
      <c r="E245" t="str">
        <f>VLOOKUP(DataTable[[#This Row],[Country]],Market!B:C,2,FALSE)</f>
        <v>North America</v>
      </c>
      <c r="F245" s="24">
        <v>5</v>
      </c>
      <c r="G245" s="24">
        <v>601380</v>
      </c>
      <c r="H245" s="24">
        <v>350</v>
      </c>
      <c r="I245" s="27">
        <v>2313</v>
      </c>
      <c r="J245" s="24">
        <v>809550</v>
      </c>
      <c r="K245" s="24">
        <v>80955</v>
      </c>
      <c r="L245" s="1" t="s">
        <v>158</v>
      </c>
      <c r="M245" s="24">
        <v>728595</v>
      </c>
      <c r="N245" s="24">
        <f t="shared" si="3"/>
        <v>127215</v>
      </c>
      <c r="O245" t="str">
        <f>IF(DataTable[[#This Row],[Profit]]/DataTable[[#This Row],[COGS]]*100&gt;20,"Achived","Not Achived")</f>
        <v>Achived</v>
      </c>
      <c r="P245" s="25">
        <f>DataTable[[#This Row],[Profit]]/DataTable[[#This Row],[COGS]]</f>
        <v>0.21153846153846154</v>
      </c>
      <c r="Q245">
        <f>DataTable[[#This Row],[Manufacturing Price]]*DataTable[[#This Row],[Units Sold]]</f>
        <v>11565</v>
      </c>
      <c r="R245" s="26">
        <f>DataTable[[#This Row],[COGS]]-DataTable[[#This Row],[MC_US]]</f>
        <v>589815</v>
      </c>
      <c r="S245" s="26">
        <f>IF(DataTable[[#This Row],[COGS-MC_US]]&gt;=0,DataTable[[#This Row],[Manufacturing Price]],DataTable[[#This Row],[COGS]]/DataTable[[#This Row],[Units Sold]])</f>
        <v>5</v>
      </c>
    </row>
    <row r="246" spans="1:19" ht="12.75" x14ac:dyDescent="0.2">
      <c r="A246" s="20">
        <v>41852</v>
      </c>
      <c r="B246" t="s">
        <v>397</v>
      </c>
      <c r="C246" t="s">
        <v>388</v>
      </c>
      <c r="D246" t="s">
        <v>359</v>
      </c>
      <c r="E246" t="str">
        <f>VLOOKUP(DataTable[[#This Row],[Country]],Market!B:C,2,FALSE)</f>
        <v>North America</v>
      </c>
      <c r="F246" s="24">
        <v>250</v>
      </c>
      <c r="G246" s="24">
        <v>729820</v>
      </c>
      <c r="H246" s="24">
        <v>350</v>
      </c>
      <c r="I246" s="27">
        <v>2807</v>
      </c>
      <c r="J246" s="24">
        <v>982450</v>
      </c>
      <c r="K246" s="24">
        <v>98245</v>
      </c>
      <c r="L246" s="1" t="s">
        <v>158</v>
      </c>
      <c r="M246" s="24">
        <v>884205</v>
      </c>
      <c r="N246" s="24">
        <f t="shared" si="3"/>
        <v>154385</v>
      </c>
      <c r="O246" t="str">
        <f>IF(DataTable[[#This Row],[Profit]]/DataTable[[#This Row],[COGS]]*100&gt;20,"Achived","Not Achived")</f>
        <v>Achived</v>
      </c>
      <c r="P246" s="25">
        <f>DataTable[[#This Row],[Profit]]/DataTable[[#This Row],[COGS]]</f>
        <v>0.21153846153846154</v>
      </c>
      <c r="Q246">
        <f>DataTable[[#This Row],[Manufacturing Price]]*DataTable[[#This Row],[Units Sold]]</f>
        <v>701750</v>
      </c>
      <c r="R246" s="26">
        <f>DataTable[[#This Row],[COGS]]-DataTable[[#This Row],[MC_US]]</f>
        <v>28070</v>
      </c>
      <c r="S246" s="26">
        <f>IF(DataTable[[#This Row],[COGS-MC_US]]&gt;=0,DataTable[[#This Row],[Manufacturing Price]],DataTable[[#This Row],[COGS]]/DataTable[[#This Row],[Units Sold]])</f>
        <v>250</v>
      </c>
    </row>
    <row r="247" spans="1:19" ht="12.75" x14ac:dyDescent="0.2">
      <c r="A247" s="20">
        <v>41699</v>
      </c>
      <c r="B247" t="s">
        <v>397</v>
      </c>
      <c r="C247" t="s">
        <v>388</v>
      </c>
      <c r="D247" t="s">
        <v>359</v>
      </c>
      <c r="E247" t="str">
        <f>VLOOKUP(DataTable[[#This Row],[Country]],Market!B:C,2,FALSE)</f>
        <v>North America</v>
      </c>
      <c r="F247" s="24">
        <v>250</v>
      </c>
      <c r="G247" s="24">
        <v>7895</v>
      </c>
      <c r="H247" s="24">
        <v>7</v>
      </c>
      <c r="I247" s="27">
        <v>1579</v>
      </c>
      <c r="J247" s="24">
        <v>11053</v>
      </c>
      <c r="K247" s="24">
        <v>1215.83</v>
      </c>
      <c r="L247" s="1" t="s">
        <v>158</v>
      </c>
      <c r="M247" s="24">
        <v>9837.17</v>
      </c>
      <c r="N247" s="24">
        <f t="shared" si="3"/>
        <v>1942.17</v>
      </c>
      <c r="O247" t="str">
        <f>IF(DataTable[[#This Row],[Profit]]/DataTable[[#This Row],[COGS]]*100&gt;20,"Achived","Not Achived")</f>
        <v>Achived</v>
      </c>
      <c r="P247" s="25">
        <f>DataTable[[#This Row],[Profit]]/DataTable[[#This Row],[COGS]]</f>
        <v>0.246</v>
      </c>
      <c r="Q247">
        <f>DataTable[[#This Row],[Manufacturing Price]]*DataTable[[#This Row],[Units Sold]]</f>
        <v>394750</v>
      </c>
      <c r="R247" s="26">
        <f>DataTable[[#This Row],[COGS]]-DataTable[[#This Row],[MC_US]]</f>
        <v>-386855</v>
      </c>
      <c r="S247" s="26">
        <f>IF(DataTable[[#This Row],[COGS-MC_US]]&gt;=0,DataTable[[#This Row],[Manufacturing Price]],DataTable[[#This Row],[COGS]]/DataTable[[#This Row],[Units Sold]])</f>
        <v>5</v>
      </c>
    </row>
    <row r="248" spans="1:19" ht="12.75" x14ac:dyDescent="0.2">
      <c r="A248" s="20">
        <v>41518</v>
      </c>
      <c r="B248" t="s">
        <v>395</v>
      </c>
      <c r="C248" t="s">
        <v>388</v>
      </c>
      <c r="D248" t="s">
        <v>359</v>
      </c>
      <c r="E248" t="str">
        <f>VLOOKUP(DataTable[[#This Row],[Country]],Market!B:C,2,FALSE)</f>
        <v>North America</v>
      </c>
      <c r="F248" s="24">
        <v>10</v>
      </c>
      <c r="G248" s="24">
        <v>1900</v>
      </c>
      <c r="H248" s="24">
        <v>7</v>
      </c>
      <c r="I248" s="27">
        <v>380</v>
      </c>
      <c r="J248" s="24">
        <v>2660</v>
      </c>
      <c r="K248" s="24">
        <v>292.60000000000002</v>
      </c>
      <c r="L248" s="1" t="s">
        <v>158</v>
      </c>
      <c r="M248" s="24">
        <v>2367.4</v>
      </c>
      <c r="N248" s="24">
        <f t="shared" si="3"/>
        <v>467.40000000000009</v>
      </c>
      <c r="O248" t="str">
        <f>IF(DataTable[[#This Row],[Profit]]/DataTable[[#This Row],[COGS]]*100&gt;20,"Achived","Not Achived")</f>
        <v>Achived</v>
      </c>
      <c r="P248" s="25">
        <f>DataTable[[#This Row],[Profit]]/DataTable[[#This Row],[COGS]]</f>
        <v>0.24600000000000005</v>
      </c>
      <c r="Q248">
        <f>DataTable[[#This Row],[Manufacturing Price]]*DataTable[[#This Row],[Units Sold]]</f>
        <v>3800</v>
      </c>
      <c r="R248" s="26">
        <f>DataTable[[#This Row],[COGS]]-DataTable[[#This Row],[MC_US]]</f>
        <v>-1900</v>
      </c>
      <c r="S248" s="26">
        <f>IF(DataTable[[#This Row],[COGS-MC_US]]&gt;=0,DataTable[[#This Row],[Manufacturing Price]],DataTable[[#This Row],[COGS]]/DataTable[[#This Row],[Units Sold]])</f>
        <v>5</v>
      </c>
    </row>
    <row r="249" spans="1:19" ht="12.75" x14ac:dyDescent="0.2">
      <c r="A249" s="20">
        <v>41913</v>
      </c>
      <c r="B249" t="s">
        <v>396</v>
      </c>
      <c r="C249" t="s">
        <v>388</v>
      </c>
      <c r="D249" t="s">
        <v>359</v>
      </c>
      <c r="E249" t="str">
        <f>VLOOKUP(DataTable[[#This Row],[Country]],Market!B:C,2,FALSE)</f>
        <v>North America</v>
      </c>
      <c r="F249" s="24">
        <v>120</v>
      </c>
      <c r="G249" s="24">
        <v>256360</v>
      </c>
      <c r="H249" s="24">
        <v>350</v>
      </c>
      <c r="I249" s="27">
        <v>986</v>
      </c>
      <c r="J249" s="24">
        <v>345100</v>
      </c>
      <c r="K249" s="24">
        <v>41412</v>
      </c>
      <c r="L249" s="1" t="s">
        <v>158</v>
      </c>
      <c r="M249" s="24">
        <v>303688</v>
      </c>
      <c r="N249" s="24">
        <f t="shared" si="3"/>
        <v>47328</v>
      </c>
      <c r="O249" t="str">
        <f>IF(DataTable[[#This Row],[Profit]]/DataTable[[#This Row],[COGS]]*100&gt;20,"Achived","Not Achived")</f>
        <v>Not Achived</v>
      </c>
      <c r="P249" s="25">
        <f>DataTable[[#This Row],[Profit]]/DataTable[[#This Row],[COGS]]</f>
        <v>0.18461538461538463</v>
      </c>
      <c r="Q249">
        <f>DataTable[[#This Row],[Manufacturing Price]]*DataTable[[#This Row],[Units Sold]]</f>
        <v>118320</v>
      </c>
      <c r="R249" s="26">
        <f>DataTable[[#This Row],[COGS]]-DataTable[[#This Row],[MC_US]]</f>
        <v>138040</v>
      </c>
      <c r="S249" s="26">
        <f>IF(DataTable[[#This Row],[COGS-MC_US]]&gt;=0,DataTable[[#This Row],[Manufacturing Price]],DataTable[[#This Row],[COGS]]/DataTable[[#This Row],[Units Sold]])</f>
        <v>120</v>
      </c>
    </row>
    <row r="250" spans="1:19" ht="12.75" x14ac:dyDescent="0.2">
      <c r="A250" s="20">
        <v>41913</v>
      </c>
      <c r="B250" t="s">
        <v>397</v>
      </c>
      <c r="C250" t="s">
        <v>388</v>
      </c>
      <c r="D250" t="s">
        <v>359</v>
      </c>
      <c r="E250" t="str">
        <f>VLOOKUP(DataTable[[#This Row],[Country]],Market!B:C,2,FALSE)</f>
        <v>North America</v>
      </c>
      <c r="F250" s="24">
        <v>250</v>
      </c>
      <c r="G250" s="24">
        <v>256360</v>
      </c>
      <c r="H250" s="24">
        <v>350</v>
      </c>
      <c r="I250" s="27">
        <v>986</v>
      </c>
      <c r="J250" s="24">
        <v>345100</v>
      </c>
      <c r="K250" s="24">
        <v>41412</v>
      </c>
      <c r="L250" s="1" t="s">
        <v>158</v>
      </c>
      <c r="M250" s="24">
        <v>303688</v>
      </c>
      <c r="N250" s="24">
        <f t="shared" si="3"/>
        <v>47328</v>
      </c>
      <c r="O250" t="str">
        <f>IF(DataTable[[#This Row],[Profit]]/DataTable[[#This Row],[COGS]]*100&gt;20,"Achived","Not Achived")</f>
        <v>Not Achived</v>
      </c>
      <c r="P250" s="25">
        <f>DataTable[[#This Row],[Profit]]/DataTable[[#This Row],[COGS]]</f>
        <v>0.18461538461538463</v>
      </c>
      <c r="Q250">
        <f>DataTable[[#This Row],[Manufacturing Price]]*DataTable[[#This Row],[Units Sold]]</f>
        <v>246500</v>
      </c>
      <c r="R250" s="26">
        <f>DataTable[[#This Row],[COGS]]-DataTable[[#This Row],[MC_US]]</f>
        <v>9860</v>
      </c>
      <c r="S250" s="26">
        <f>IF(DataTable[[#This Row],[COGS-MC_US]]&gt;=0,DataTable[[#This Row],[Manufacturing Price]],DataTable[[#This Row],[COGS]]/DataTable[[#This Row],[Units Sold]])</f>
        <v>250</v>
      </c>
    </row>
    <row r="251" spans="1:19" ht="12.75" x14ac:dyDescent="0.2">
      <c r="A251" s="20">
        <v>41671</v>
      </c>
      <c r="B251" t="s">
        <v>398</v>
      </c>
      <c r="C251" t="s">
        <v>388</v>
      </c>
      <c r="D251" t="s">
        <v>359</v>
      </c>
      <c r="E251" t="str">
        <f>VLOOKUP(DataTable[[#This Row],[Country]],Market!B:C,2,FALSE)</f>
        <v>North America</v>
      </c>
      <c r="F251" s="24">
        <v>260</v>
      </c>
      <c r="G251" s="24">
        <v>70200</v>
      </c>
      <c r="H251" s="24">
        <v>350</v>
      </c>
      <c r="I251" s="27">
        <v>270</v>
      </c>
      <c r="J251" s="24">
        <v>94500</v>
      </c>
      <c r="K251" s="24">
        <v>11340</v>
      </c>
      <c r="L251" s="1" t="s">
        <v>158</v>
      </c>
      <c r="M251" s="24">
        <v>83160</v>
      </c>
      <c r="N251" s="24">
        <f t="shared" si="3"/>
        <v>12960</v>
      </c>
      <c r="O251" t="str">
        <f>IF(DataTable[[#This Row],[Profit]]/DataTable[[#This Row],[COGS]]*100&gt;20,"Achived","Not Achived")</f>
        <v>Not Achived</v>
      </c>
      <c r="P251" s="25">
        <f>DataTable[[#This Row],[Profit]]/DataTable[[#This Row],[COGS]]</f>
        <v>0.18461538461538463</v>
      </c>
      <c r="Q251">
        <f>DataTable[[#This Row],[Manufacturing Price]]*DataTable[[#This Row],[Units Sold]]</f>
        <v>70200</v>
      </c>
      <c r="R251" s="26">
        <f>DataTable[[#This Row],[COGS]]-DataTable[[#This Row],[MC_US]]</f>
        <v>0</v>
      </c>
      <c r="S251" s="26">
        <f>IF(DataTable[[#This Row],[COGS-MC_US]]&gt;=0,DataTable[[#This Row],[Manufacturing Price]],DataTable[[#This Row],[COGS]]/DataTable[[#This Row],[Units Sold]])</f>
        <v>260</v>
      </c>
    </row>
    <row r="252" spans="1:19" ht="12.75" x14ac:dyDescent="0.2">
      <c r="A252" s="20">
        <v>41640</v>
      </c>
      <c r="B252" t="s">
        <v>391</v>
      </c>
      <c r="C252" t="s">
        <v>388</v>
      </c>
      <c r="D252" t="s">
        <v>359</v>
      </c>
      <c r="E252" t="str">
        <f>VLOOKUP(DataTable[[#This Row],[Country]],Market!B:C,2,FALSE)</f>
        <v>North America</v>
      </c>
      <c r="F252" s="24">
        <v>5</v>
      </c>
      <c r="G252" s="24">
        <v>255450</v>
      </c>
      <c r="H252" s="24">
        <v>350</v>
      </c>
      <c r="I252" s="27">
        <v>982.5</v>
      </c>
      <c r="J252" s="24">
        <v>343875</v>
      </c>
      <c r="K252" s="24">
        <v>44703.75</v>
      </c>
      <c r="L252" s="1" t="s">
        <v>158</v>
      </c>
      <c r="M252" s="24">
        <v>299171.25</v>
      </c>
      <c r="N252" s="24">
        <f t="shared" si="3"/>
        <v>43721.25</v>
      </c>
      <c r="O252" t="str">
        <f>IF(DataTable[[#This Row],[Profit]]/DataTable[[#This Row],[COGS]]*100&gt;20,"Achived","Not Achived")</f>
        <v>Not Achived</v>
      </c>
      <c r="P252" s="25">
        <f>DataTable[[#This Row],[Profit]]/DataTable[[#This Row],[COGS]]</f>
        <v>0.17115384615384616</v>
      </c>
      <c r="Q252">
        <f>DataTable[[#This Row],[Manufacturing Price]]*DataTable[[#This Row],[Units Sold]]</f>
        <v>4912.5</v>
      </c>
      <c r="R252" s="26">
        <f>DataTable[[#This Row],[COGS]]-DataTable[[#This Row],[MC_US]]</f>
        <v>250537.5</v>
      </c>
      <c r="S252" s="26">
        <f>IF(DataTable[[#This Row],[COGS-MC_US]]&gt;=0,DataTable[[#This Row],[Manufacturing Price]],DataTable[[#This Row],[COGS]]/DataTable[[#This Row],[Units Sold]])</f>
        <v>5</v>
      </c>
    </row>
    <row r="253" spans="1:19" ht="12.75" x14ac:dyDescent="0.2">
      <c r="A253" s="20">
        <v>41671</v>
      </c>
      <c r="B253" t="s">
        <v>391</v>
      </c>
      <c r="C253" t="s">
        <v>388</v>
      </c>
      <c r="D253" t="s">
        <v>359</v>
      </c>
      <c r="E253" t="str">
        <f>VLOOKUP(DataTable[[#This Row],[Country]],Market!B:C,2,FALSE)</f>
        <v>North America</v>
      </c>
      <c r="F253" s="24">
        <v>5</v>
      </c>
      <c r="G253" s="24">
        <v>6490</v>
      </c>
      <c r="H253" s="24">
        <v>7</v>
      </c>
      <c r="I253" s="27">
        <v>1298</v>
      </c>
      <c r="J253" s="24">
        <v>9086</v>
      </c>
      <c r="K253" s="24">
        <v>1181.18</v>
      </c>
      <c r="L253" s="1" t="s">
        <v>158</v>
      </c>
      <c r="M253" s="24">
        <v>7904.82</v>
      </c>
      <c r="N253" s="24">
        <f t="shared" si="3"/>
        <v>1414.8199999999997</v>
      </c>
      <c r="O253" t="str">
        <f>IF(DataTable[[#This Row],[Profit]]/DataTable[[#This Row],[COGS]]*100&gt;20,"Achived","Not Achived")</f>
        <v>Achived</v>
      </c>
      <c r="P253" s="25">
        <f>DataTable[[#This Row],[Profit]]/DataTable[[#This Row],[COGS]]</f>
        <v>0.21799999999999994</v>
      </c>
      <c r="Q253">
        <f>DataTable[[#This Row],[Manufacturing Price]]*DataTable[[#This Row],[Units Sold]]</f>
        <v>6490</v>
      </c>
      <c r="R253" s="26">
        <f>DataTable[[#This Row],[COGS]]-DataTable[[#This Row],[MC_US]]</f>
        <v>0</v>
      </c>
      <c r="S253" s="26">
        <f>IF(DataTable[[#This Row],[COGS-MC_US]]&gt;=0,DataTable[[#This Row],[Manufacturing Price]],DataTable[[#This Row],[COGS]]/DataTable[[#This Row],[Units Sold]])</f>
        <v>5</v>
      </c>
    </row>
    <row r="254" spans="1:19" ht="12.75" x14ac:dyDescent="0.2">
      <c r="A254" s="20">
        <v>41640</v>
      </c>
      <c r="B254" t="s">
        <v>395</v>
      </c>
      <c r="C254" t="s">
        <v>388</v>
      </c>
      <c r="D254" t="s">
        <v>359</v>
      </c>
      <c r="E254" t="str">
        <f>VLOOKUP(DataTable[[#This Row],[Country]],Market!B:C,2,FALSE)</f>
        <v>North America</v>
      </c>
      <c r="F254" s="24">
        <v>10</v>
      </c>
      <c r="G254" s="24">
        <v>7192.5</v>
      </c>
      <c r="H254" s="24">
        <v>7</v>
      </c>
      <c r="I254" s="27">
        <v>1438.5</v>
      </c>
      <c r="J254" s="24">
        <v>10069.5</v>
      </c>
      <c r="K254" s="24">
        <v>1309.04</v>
      </c>
      <c r="L254" s="1" t="s">
        <v>158</v>
      </c>
      <c r="M254" s="24">
        <v>8760.4699999999993</v>
      </c>
      <c r="N254" s="24">
        <f t="shared" si="3"/>
        <v>1567.9699999999993</v>
      </c>
      <c r="O254" t="str">
        <f>IF(DataTable[[#This Row],[Profit]]/DataTable[[#This Row],[COGS]]*100&gt;20,"Achived","Not Achived")</f>
        <v>Achived</v>
      </c>
      <c r="P254" s="25">
        <f>DataTable[[#This Row],[Profit]]/DataTable[[#This Row],[COGS]]</f>
        <v>0.21800069516857828</v>
      </c>
      <c r="Q254">
        <f>DataTable[[#This Row],[Manufacturing Price]]*DataTable[[#This Row],[Units Sold]]</f>
        <v>14385</v>
      </c>
      <c r="R254" s="26">
        <f>DataTable[[#This Row],[COGS]]-DataTable[[#This Row],[MC_US]]</f>
        <v>-7192.5</v>
      </c>
      <c r="S254" s="26">
        <f>IF(DataTable[[#This Row],[COGS-MC_US]]&gt;=0,DataTable[[#This Row],[Manufacturing Price]],DataTable[[#This Row],[COGS]]/DataTable[[#This Row],[Units Sold]])</f>
        <v>5</v>
      </c>
    </row>
    <row r="255" spans="1:19" ht="12.75" x14ac:dyDescent="0.2">
      <c r="A255" s="20">
        <v>41671</v>
      </c>
      <c r="B255" t="s">
        <v>395</v>
      </c>
      <c r="C255" t="s">
        <v>388</v>
      </c>
      <c r="D255" t="s">
        <v>359</v>
      </c>
      <c r="E255" t="str">
        <f>VLOOKUP(DataTable[[#This Row],[Country]],Market!B:C,2,FALSE)</f>
        <v>North America</v>
      </c>
      <c r="F255" s="24">
        <v>10</v>
      </c>
      <c r="G255" s="24">
        <v>26410</v>
      </c>
      <c r="H255" s="24">
        <v>20</v>
      </c>
      <c r="I255" s="27">
        <v>2641</v>
      </c>
      <c r="J255" s="24">
        <v>52820</v>
      </c>
      <c r="K255" s="24">
        <v>6866.6</v>
      </c>
      <c r="L255" s="1" t="s">
        <v>158</v>
      </c>
      <c r="M255" s="24">
        <v>45953.4</v>
      </c>
      <c r="N255" s="24">
        <f t="shared" si="3"/>
        <v>19543.400000000001</v>
      </c>
      <c r="O255" t="str">
        <f>IF(DataTable[[#This Row],[Profit]]/DataTable[[#This Row],[COGS]]*100&gt;20,"Achived","Not Achived")</f>
        <v>Achived</v>
      </c>
      <c r="P255" s="25">
        <f>DataTable[[#This Row],[Profit]]/DataTable[[#This Row],[COGS]]</f>
        <v>0.7400000000000001</v>
      </c>
      <c r="Q255">
        <f>DataTable[[#This Row],[Manufacturing Price]]*DataTable[[#This Row],[Units Sold]]</f>
        <v>26410</v>
      </c>
      <c r="R255" s="26">
        <f>DataTable[[#This Row],[COGS]]-DataTable[[#This Row],[MC_US]]</f>
        <v>0</v>
      </c>
      <c r="S255" s="26">
        <f>IF(DataTable[[#This Row],[COGS-MC_US]]&gt;=0,DataTable[[#This Row],[Manufacturing Price]],DataTable[[#This Row],[COGS]]/DataTable[[#This Row],[Units Sold]])</f>
        <v>10</v>
      </c>
    </row>
    <row r="256" spans="1:19" ht="12.75" x14ac:dyDescent="0.2">
      <c r="A256" s="20">
        <v>41760</v>
      </c>
      <c r="B256" t="s">
        <v>389</v>
      </c>
      <c r="C256" t="s">
        <v>388</v>
      </c>
      <c r="D256" t="s">
        <v>359</v>
      </c>
      <c r="E256" t="str">
        <f>VLOOKUP(DataTable[[#This Row],[Country]],Market!B:C,2,FALSE)</f>
        <v>North America</v>
      </c>
      <c r="F256" s="24">
        <v>3</v>
      </c>
      <c r="G256" s="24">
        <v>17430</v>
      </c>
      <c r="H256" s="24">
        <v>20</v>
      </c>
      <c r="I256" s="27">
        <v>1743</v>
      </c>
      <c r="J256" s="24">
        <v>34860</v>
      </c>
      <c r="K256" s="24">
        <v>4880.3999999999996</v>
      </c>
      <c r="L256" s="1" t="s">
        <v>158</v>
      </c>
      <c r="M256" s="24">
        <v>29979.599999999999</v>
      </c>
      <c r="N256" s="24">
        <f t="shared" si="3"/>
        <v>12549.599999999999</v>
      </c>
      <c r="O256" t="str">
        <f>IF(DataTable[[#This Row],[Profit]]/DataTable[[#This Row],[COGS]]*100&gt;20,"Achived","Not Achived")</f>
        <v>Achived</v>
      </c>
      <c r="P256" s="25">
        <f>DataTable[[#This Row],[Profit]]/DataTable[[#This Row],[COGS]]</f>
        <v>0.71999999999999986</v>
      </c>
      <c r="Q256">
        <f>DataTable[[#This Row],[Manufacturing Price]]*DataTable[[#This Row],[Units Sold]]</f>
        <v>5229</v>
      </c>
      <c r="R256" s="26">
        <f>DataTable[[#This Row],[COGS]]-DataTable[[#This Row],[MC_US]]</f>
        <v>12201</v>
      </c>
      <c r="S256" s="26">
        <f>IF(DataTable[[#This Row],[COGS-MC_US]]&gt;=0,DataTable[[#This Row],[Manufacturing Price]],DataTable[[#This Row],[COGS]]/DataTable[[#This Row],[Units Sold]])</f>
        <v>3</v>
      </c>
    </row>
    <row r="257" spans="1:19" ht="12.75" x14ac:dyDescent="0.2">
      <c r="A257" s="20">
        <v>41548</v>
      </c>
      <c r="B257" t="s">
        <v>389</v>
      </c>
      <c r="C257" t="s">
        <v>388</v>
      </c>
      <c r="D257" t="s">
        <v>359</v>
      </c>
      <c r="E257" t="str">
        <f>VLOOKUP(DataTable[[#This Row],[Country]],Market!B:C,2,FALSE)</f>
        <v>North America</v>
      </c>
      <c r="F257" s="24">
        <v>3</v>
      </c>
      <c r="G257" s="24">
        <v>14980</v>
      </c>
      <c r="H257" s="24">
        <v>7</v>
      </c>
      <c r="I257" s="27">
        <v>2996</v>
      </c>
      <c r="J257" s="24">
        <v>20972</v>
      </c>
      <c r="K257" s="24">
        <v>2936.08</v>
      </c>
      <c r="L257" s="1" t="s">
        <v>158</v>
      </c>
      <c r="M257" s="24">
        <v>18035.919999999998</v>
      </c>
      <c r="N257" s="24">
        <f t="shared" si="3"/>
        <v>3055.9199999999983</v>
      </c>
      <c r="O257" t="str">
        <f>IF(DataTable[[#This Row],[Profit]]/DataTable[[#This Row],[COGS]]*100&gt;20,"Achived","Not Achived")</f>
        <v>Achived</v>
      </c>
      <c r="P257" s="25">
        <f>DataTable[[#This Row],[Profit]]/DataTable[[#This Row],[COGS]]</f>
        <v>0.20399999999999988</v>
      </c>
      <c r="Q257">
        <f>DataTable[[#This Row],[Manufacturing Price]]*DataTable[[#This Row],[Units Sold]]</f>
        <v>8988</v>
      </c>
      <c r="R257" s="26">
        <f>DataTable[[#This Row],[COGS]]-DataTable[[#This Row],[MC_US]]</f>
        <v>5992</v>
      </c>
      <c r="S257" s="26">
        <f>IF(DataTable[[#This Row],[COGS-MC_US]]&gt;=0,DataTable[[#This Row],[Manufacturing Price]],DataTable[[#This Row],[COGS]]/DataTable[[#This Row],[Units Sold]])</f>
        <v>3</v>
      </c>
    </row>
    <row r="258" spans="1:19" ht="12.75" x14ac:dyDescent="0.2">
      <c r="A258" s="20">
        <v>41548</v>
      </c>
      <c r="B258" t="s">
        <v>391</v>
      </c>
      <c r="C258" t="s">
        <v>388</v>
      </c>
      <c r="D258" t="s">
        <v>359</v>
      </c>
      <c r="E258" t="str">
        <f>VLOOKUP(DataTable[[#This Row],[Country]],Market!B:C,2,FALSE)</f>
        <v>North America</v>
      </c>
      <c r="F258" s="24">
        <v>5</v>
      </c>
      <c r="G258" s="24">
        <v>14980</v>
      </c>
      <c r="H258" s="24">
        <v>7</v>
      </c>
      <c r="I258" s="27">
        <v>2996</v>
      </c>
      <c r="J258" s="24">
        <v>20972</v>
      </c>
      <c r="K258" s="24">
        <v>2936.08</v>
      </c>
      <c r="L258" s="1" t="s">
        <v>158</v>
      </c>
      <c r="M258" s="24">
        <v>18035.919999999998</v>
      </c>
      <c r="N258" s="24">
        <f t="shared" si="3"/>
        <v>3055.9199999999983</v>
      </c>
      <c r="O258" t="str">
        <f>IF(DataTable[[#This Row],[Profit]]/DataTable[[#This Row],[COGS]]*100&gt;20,"Achived","Not Achived")</f>
        <v>Achived</v>
      </c>
      <c r="P258" s="25">
        <f>DataTable[[#This Row],[Profit]]/DataTable[[#This Row],[COGS]]</f>
        <v>0.20399999999999988</v>
      </c>
      <c r="Q258">
        <f>DataTable[[#This Row],[Manufacturing Price]]*DataTable[[#This Row],[Units Sold]]</f>
        <v>14980</v>
      </c>
      <c r="R258" s="26">
        <f>DataTable[[#This Row],[COGS]]-DataTable[[#This Row],[MC_US]]</f>
        <v>0</v>
      </c>
      <c r="S258" s="26">
        <f>IF(DataTable[[#This Row],[COGS-MC_US]]&gt;=0,DataTable[[#This Row],[Manufacturing Price]],DataTable[[#This Row],[COGS]]/DataTable[[#This Row],[Units Sold]])</f>
        <v>5</v>
      </c>
    </row>
    <row r="259" spans="1:19" ht="12.75" x14ac:dyDescent="0.2">
      <c r="A259" s="20">
        <v>41944</v>
      </c>
      <c r="B259" t="s">
        <v>395</v>
      </c>
      <c r="C259" t="s">
        <v>388</v>
      </c>
      <c r="D259" t="s">
        <v>359</v>
      </c>
      <c r="E259" t="str">
        <f>VLOOKUP(DataTable[[#This Row],[Country]],Market!B:C,2,FALSE)</f>
        <v>North America</v>
      </c>
      <c r="F259" s="24">
        <v>10</v>
      </c>
      <c r="G259" s="24">
        <v>306020</v>
      </c>
      <c r="H259" s="24">
        <v>350</v>
      </c>
      <c r="I259" s="27">
        <v>1177</v>
      </c>
      <c r="J259" s="24">
        <v>411950</v>
      </c>
      <c r="K259" s="24">
        <v>57673</v>
      </c>
      <c r="L259" s="1" t="s">
        <v>158</v>
      </c>
      <c r="M259" s="24">
        <v>354277</v>
      </c>
      <c r="N259" s="24">
        <f t="shared" si="3"/>
        <v>48257</v>
      </c>
      <c r="O259" t="str">
        <f>IF(DataTable[[#This Row],[Profit]]/DataTable[[#This Row],[COGS]]*100&gt;20,"Achived","Not Achived")</f>
        <v>Not Achived</v>
      </c>
      <c r="P259" s="25">
        <f>DataTable[[#This Row],[Profit]]/DataTable[[#This Row],[COGS]]</f>
        <v>0.15769230769230769</v>
      </c>
      <c r="Q259">
        <f>DataTable[[#This Row],[Manufacturing Price]]*DataTable[[#This Row],[Units Sold]]</f>
        <v>11770</v>
      </c>
      <c r="R259" s="26">
        <f>DataTable[[#This Row],[COGS]]-DataTable[[#This Row],[MC_US]]</f>
        <v>294250</v>
      </c>
      <c r="S259" s="26">
        <f>IF(DataTable[[#This Row],[COGS-MC_US]]&gt;=0,DataTable[[#This Row],[Manufacturing Price]],DataTable[[#This Row],[COGS]]/DataTable[[#This Row],[Units Sold]])</f>
        <v>10</v>
      </c>
    </row>
    <row r="260" spans="1:19" ht="12.75" x14ac:dyDescent="0.2">
      <c r="A260" s="20">
        <v>41730</v>
      </c>
      <c r="B260" t="s">
        <v>396</v>
      </c>
      <c r="C260" t="s">
        <v>388</v>
      </c>
      <c r="D260" t="s">
        <v>359</v>
      </c>
      <c r="E260" t="str">
        <f>VLOOKUP(DataTable[[#This Row],[Country]],Market!B:C,2,FALSE)</f>
        <v>North America</v>
      </c>
      <c r="F260" s="24">
        <v>120</v>
      </c>
      <c r="G260" s="24">
        <v>6060</v>
      </c>
      <c r="H260" s="24">
        <v>20</v>
      </c>
      <c r="I260" s="27">
        <v>606</v>
      </c>
      <c r="J260" s="24">
        <v>12120</v>
      </c>
      <c r="K260" s="24">
        <v>1696.8</v>
      </c>
      <c r="L260" s="1" t="s">
        <v>158</v>
      </c>
      <c r="M260" s="24">
        <v>10423.200000000001</v>
      </c>
      <c r="N260" s="24">
        <f t="shared" ref="N260:N323" si="4">M260-G260</f>
        <v>4363.2000000000007</v>
      </c>
      <c r="O260" t="str">
        <f>IF(DataTable[[#This Row],[Profit]]/DataTable[[#This Row],[COGS]]*100&gt;20,"Achived","Not Achived")</f>
        <v>Achived</v>
      </c>
      <c r="P260" s="25">
        <f>DataTable[[#This Row],[Profit]]/DataTable[[#This Row],[COGS]]</f>
        <v>0.72000000000000008</v>
      </c>
      <c r="Q260">
        <f>DataTable[[#This Row],[Manufacturing Price]]*DataTable[[#This Row],[Units Sold]]</f>
        <v>72720</v>
      </c>
      <c r="R260" s="26">
        <f>DataTable[[#This Row],[COGS]]-DataTable[[#This Row],[MC_US]]</f>
        <v>-66660</v>
      </c>
      <c r="S260" s="26">
        <f>IF(DataTable[[#This Row],[COGS-MC_US]]&gt;=0,DataTable[[#This Row],[Manufacturing Price]],DataTable[[#This Row],[COGS]]/DataTable[[#This Row],[Units Sold]])</f>
        <v>10</v>
      </c>
    </row>
    <row r="261" spans="1:19" ht="12.75" x14ac:dyDescent="0.2">
      <c r="A261" s="20">
        <v>41548</v>
      </c>
      <c r="B261" t="s">
        <v>395</v>
      </c>
      <c r="C261" t="s">
        <v>388</v>
      </c>
      <c r="D261" t="s">
        <v>359</v>
      </c>
      <c r="E261" t="str">
        <f>VLOOKUP(DataTable[[#This Row],[Country]],Market!B:C,2,FALSE)</f>
        <v>North America</v>
      </c>
      <c r="F261" s="24">
        <v>10</v>
      </c>
      <c r="G261" s="24">
        <v>2670</v>
      </c>
      <c r="H261" s="24">
        <v>20</v>
      </c>
      <c r="I261" s="27">
        <v>267</v>
      </c>
      <c r="J261" s="24">
        <v>5340</v>
      </c>
      <c r="K261" s="24">
        <v>801</v>
      </c>
      <c r="L261" s="1" t="s">
        <v>158</v>
      </c>
      <c r="M261" s="24">
        <v>4539</v>
      </c>
      <c r="N261" s="24">
        <f t="shared" si="4"/>
        <v>1869</v>
      </c>
      <c r="O261" t="str">
        <f>IF(DataTable[[#This Row],[Profit]]/DataTable[[#This Row],[COGS]]*100&gt;20,"Achived","Not Achived")</f>
        <v>Achived</v>
      </c>
      <c r="P261" s="25">
        <f>DataTable[[#This Row],[Profit]]/DataTable[[#This Row],[COGS]]</f>
        <v>0.7</v>
      </c>
      <c r="Q261">
        <f>DataTable[[#This Row],[Manufacturing Price]]*DataTable[[#This Row],[Units Sold]]</f>
        <v>2670</v>
      </c>
      <c r="R261" s="26">
        <f>DataTable[[#This Row],[COGS]]-DataTable[[#This Row],[MC_US]]</f>
        <v>0</v>
      </c>
      <c r="S261" s="26">
        <f>IF(DataTable[[#This Row],[COGS-MC_US]]&gt;=0,DataTable[[#This Row],[Manufacturing Price]],DataTable[[#This Row],[COGS]]/DataTable[[#This Row],[Units Sold]])</f>
        <v>10</v>
      </c>
    </row>
    <row r="262" spans="1:19" ht="12.75" x14ac:dyDescent="0.2">
      <c r="A262" s="20">
        <v>41579</v>
      </c>
      <c r="B262" t="s">
        <v>395</v>
      </c>
      <c r="C262" t="s">
        <v>388</v>
      </c>
      <c r="D262" t="s">
        <v>359</v>
      </c>
      <c r="E262" t="str">
        <f>VLOOKUP(DataTable[[#This Row],[Country]],Market!B:C,2,FALSE)</f>
        <v>North America</v>
      </c>
      <c r="F262" s="24">
        <v>10</v>
      </c>
      <c r="G262" s="24">
        <v>521820</v>
      </c>
      <c r="H262" s="24">
        <v>350</v>
      </c>
      <c r="I262" s="27">
        <v>2007</v>
      </c>
      <c r="J262" s="24">
        <v>702450</v>
      </c>
      <c r="K262" s="24">
        <v>105367.5</v>
      </c>
      <c r="L262" s="1" t="s">
        <v>158</v>
      </c>
      <c r="M262" s="24">
        <v>597082.5</v>
      </c>
      <c r="N262" s="24">
        <f t="shared" si="4"/>
        <v>75262.5</v>
      </c>
      <c r="O262" t="str">
        <f>IF(DataTable[[#This Row],[Profit]]/DataTable[[#This Row],[COGS]]*100&gt;20,"Achived","Not Achived")</f>
        <v>Not Achived</v>
      </c>
      <c r="P262" s="25">
        <f>DataTable[[#This Row],[Profit]]/DataTable[[#This Row],[COGS]]</f>
        <v>0.14423076923076922</v>
      </c>
      <c r="Q262">
        <f>DataTable[[#This Row],[Manufacturing Price]]*DataTable[[#This Row],[Units Sold]]</f>
        <v>20070</v>
      </c>
      <c r="R262" s="26">
        <f>DataTable[[#This Row],[COGS]]-DataTable[[#This Row],[MC_US]]</f>
        <v>501750</v>
      </c>
      <c r="S262" s="26">
        <f>IF(DataTable[[#This Row],[COGS-MC_US]]&gt;=0,DataTable[[#This Row],[Manufacturing Price]],DataTable[[#This Row],[COGS]]/DataTable[[#This Row],[Units Sold]])</f>
        <v>10</v>
      </c>
    </row>
    <row r="263" spans="1:19" ht="12.75" x14ac:dyDescent="0.2">
      <c r="A263" s="20">
        <v>41548</v>
      </c>
      <c r="B263" t="s">
        <v>397</v>
      </c>
      <c r="C263" t="s">
        <v>388</v>
      </c>
      <c r="D263" t="s">
        <v>359</v>
      </c>
      <c r="E263" t="str">
        <f>VLOOKUP(DataTable[[#This Row],[Country]],Market!B:C,2,FALSE)</f>
        <v>North America</v>
      </c>
      <c r="F263" s="24">
        <v>250</v>
      </c>
      <c r="G263" s="24">
        <v>2670</v>
      </c>
      <c r="H263" s="24">
        <v>20</v>
      </c>
      <c r="I263" s="27">
        <v>267</v>
      </c>
      <c r="J263" s="24">
        <v>5340</v>
      </c>
      <c r="K263" s="24">
        <v>801</v>
      </c>
      <c r="L263" s="1" t="s">
        <v>158</v>
      </c>
      <c r="M263" s="24">
        <v>4539</v>
      </c>
      <c r="N263" s="24">
        <f t="shared" si="4"/>
        <v>1869</v>
      </c>
      <c r="O263" t="str">
        <f>IF(DataTable[[#This Row],[Profit]]/DataTable[[#This Row],[COGS]]*100&gt;20,"Achived","Not Achived")</f>
        <v>Achived</v>
      </c>
      <c r="P263" s="25">
        <f>DataTable[[#This Row],[Profit]]/DataTable[[#This Row],[COGS]]</f>
        <v>0.7</v>
      </c>
      <c r="Q263">
        <f>DataTable[[#This Row],[Manufacturing Price]]*DataTable[[#This Row],[Units Sold]]</f>
        <v>66750</v>
      </c>
      <c r="R263" s="26">
        <f>DataTable[[#This Row],[COGS]]-DataTable[[#This Row],[MC_US]]</f>
        <v>-64080</v>
      </c>
      <c r="S263" s="26">
        <f>IF(DataTable[[#This Row],[COGS-MC_US]]&gt;=0,DataTable[[#This Row],[Manufacturing Price]],DataTable[[#This Row],[COGS]]/DataTable[[#This Row],[Units Sold]])</f>
        <v>10</v>
      </c>
    </row>
    <row r="264" spans="1:19" ht="12.75" hidden="1" x14ac:dyDescent="0.2">
      <c r="A264" s="20">
        <v>41852</v>
      </c>
      <c r="B264" t="s">
        <v>395</v>
      </c>
      <c r="C264" t="s">
        <v>388</v>
      </c>
      <c r="D264" t="s">
        <v>352</v>
      </c>
      <c r="E264" t="str">
        <f>VLOOKUP(DataTable[[#This Row],[Country]],Market!B:C,2,FALSE)</f>
        <v>North America</v>
      </c>
      <c r="F264" s="24">
        <v>10</v>
      </c>
      <c r="G264" s="24">
        <v>4415</v>
      </c>
      <c r="H264" s="24">
        <v>7</v>
      </c>
      <c r="I264" s="27">
        <v>883</v>
      </c>
      <c r="J264" s="24">
        <v>6181</v>
      </c>
      <c r="K264" s="24">
        <v>0</v>
      </c>
      <c r="L264" s="1" t="s">
        <v>12</v>
      </c>
      <c r="M264" s="24">
        <v>6181</v>
      </c>
      <c r="N264" s="24">
        <f t="shared" si="4"/>
        <v>1766</v>
      </c>
      <c r="O264" t="str">
        <f>IF(DataTable[[#This Row],[Profit]]/DataTable[[#This Row],[COGS]]*100&gt;20,"Achived","Not Achived")</f>
        <v>Achived</v>
      </c>
      <c r="P264" s="25">
        <f>DataTable[[#This Row],[Profit]]/DataTable[[#This Row],[COGS]]</f>
        <v>0.4</v>
      </c>
      <c r="Q264">
        <f>DataTable[[#This Row],[Manufacturing Price]]*DataTable[[#This Row],[Units Sold]]</f>
        <v>8830</v>
      </c>
      <c r="R264" s="26">
        <f>DataTable[[#This Row],[COGS]]-DataTable[[#This Row],[MC_US]]</f>
        <v>-4415</v>
      </c>
      <c r="S264" s="26">
        <f>IF(DataTable[[#This Row],[COGS-MC_US]]&gt;=0,DataTable[[#This Row],[Manufacturing Price]],DataTable[[#This Row],[COGS]]/DataTable[[#This Row],[Units Sold]])</f>
        <v>5</v>
      </c>
    </row>
    <row r="265" spans="1:19" ht="12.75" hidden="1" x14ac:dyDescent="0.2">
      <c r="A265" s="20">
        <v>41640</v>
      </c>
      <c r="B265" t="s">
        <v>396</v>
      </c>
      <c r="C265" t="s">
        <v>388</v>
      </c>
      <c r="D265" t="s">
        <v>352</v>
      </c>
      <c r="E265" t="str">
        <f>VLOOKUP(DataTable[[#This Row],[Country]],Market!B:C,2,FALSE)</f>
        <v>North America</v>
      </c>
      <c r="F265" s="24">
        <v>120</v>
      </c>
      <c r="G265" s="24">
        <v>7465</v>
      </c>
      <c r="H265" s="24">
        <v>7</v>
      </c>
      <c r="I265" s="27">
        <v>1493</v>
      </c>
      <c r="J265" s="24">
        <v>10451</v>
      </c>
      <c r="K265" s="24">
        <v>0</v>
      </c>
      <c r="L265" s="1" t="s">
        <v>12</v>
      </c>
      <c r="M265" s="24">
        <v>10451</v>
      </c>
      <c r="N265" s="24">
        <f t="shared" si="4"/>
        <v>2986</v>
      </c>
      <c r="O265" t="str">
        <f>IF(DataTable[[#This Row],[Profit]]/DataTable[[#This Row],[COGS]]*100&gt;20,"Achived","Not Achived")</f>
        <v>Achived</v>
      </c>
      <c r="P265" s="25">
        <f>DataTable[[#This Row],[Profit]]/DataTable[[#This Row],[COGS]]</f>
        <v>0.4</v>
      </c>
      <c r="Q265">
        <f>DataTable[[#This Row],[Manufacturing Price]]*DataTable[[#This Row],[Units Sold]]</f>
        <v>179160</v>
      </c>
      <c r="R265" s="26">
        <f>DataTable[[#This Row],[COGS]]-DataTable[[#This Row],[MC_US]]</f>
        <v>-171695</v>
      </c>
      <c r="S265" s="26">
        <f>IF(DataTable[[#This Row],[COGS-MC_US]]&gt;=0,DataTable[[#This Row],[Manufacturing Price]],DataTable[[#This Row],[COGS]]/DataTable[[#This Row],[Units Sold]])</f>
        <v>5</v>
      </c>
    </row>
    <row r="266" spans="1:19" ht="12.75" hidden="1" x14ac:dyDescent="0.2">
      <c r="A266" s="20">
        <v>41699</v>
      </c>
      <c r="B266" t="s">
        <v>389</v>
      </c>
      <c r="C266" t="s">
        <v>388</v>
      </c>
      <c r="D266" t="s">
        <v>352</v>
      </c>
      <c r="E266" t="str">
        <f>VLOOKUP(DataTable[[#This Row],[Country]],Market!B:C,2,FALSE)</f>
        <v>North America</v>
      </c>
      <c r="F266" s="24">
        <v>3</v>
      </c>
      <c r="G266" s="24">
        <v>314600</v>
      </c>
      <c r="H266" s="24">
        <v>350</v>
      </c>
      <c r="I266" s="27">
        <v>1210</v>
      </c>
      <c r="J266" s="24">
        <v>423500</v>
      </c>
      <c r="K266" s="24">
        <v>4235</v>
      </c>
      <c r="L266" s="1" t="s">
        <v>57</v>
      </c>
      <c r="M266" s="24">
        <v>419265</v>
      </c>
      <c r="N266" s="24">
        <f t="shared" si="4"/>
        <v>104665</v>
      </c>
      <c r="O266" t="str">
        <f>IF(DataTable[[#This Row],[Profit]]/DataTable[[#This Row],[COGS]]*100&gt;20,"Achived","Not Achived")</f>
        <v>Achived</v>
      </c>
      <c r="P266" s="25">
        <f>DataTable[[#This Row],[Profit]]/DataTable[[#This Row],[COGS]]</f>
        <v>0.33269230769230768</v>
      </c>
      <c r="Q266">
        <f>DataTable[[#This Row],[Manufacturing Price]]*DataTable[[#This Row],[Units Sold]]</f>
        <v>3630</v>
      </c>
      <c r="R266" s="26">
        <f>DataTable[[#This Row],[COGS]]-DataTable[[#This Row],[MC_US]]</f>
        <v>310970</v>
      </c>
      <c r="S266" s="26">
        <f>IF(DataTable[[#This Row],[COGS-MC_US]]&gt;=0,DataTable[[#This Row],[Manufacturing Price]],DataTable[[#This Row],[COGS]]/DataTable[[#This Row],[Units Sold]])</f>
        <v>3</v>
      </c>
    </row>
    <row r="267" spans="1:19" ht="12.75" hidden="1" x14ac:dyDescent="0.2">
      <c r="A267" s="20">
        <v>41913</v>
      </c>
      <c r="B267" t="s">
        <v>389</v>
      </c>
      <c r="C267" t="s">
        <v>388</v>
      </c>
      <c r="D267" t="s">
        <v>352</v>
      </c>
      <c r="E267" t="str">
        <f>VLOOKUP(DataTable[[#This Row],[Country]],Market!B:C,2,FALSE)</f>
        <v>North America</v>
      </c>
      <c r="F267" s="24">
        <v>3</v>
      </c>
      <c r="G267" s="24">
        <v>363220</v>
      </c>
      <c r="H267" s="24">
        <v>350</v>
      </c>
      <c r="I267" s="27">
        <v>1397</v>
      </c>
      <c r="J267" s="24">
        <v>488950</v>
      </c>
      <c r="K267" s="24">
        <v>4889.5</v>
      </c>
      <c r="L267" s="1" t="s">
        <v>57</v>
      </c>
      <c r="M267" s="24">
        <v>484060.5</v>
      </c>
      <c r="N267" s="24">
        <f t="shared" si="4"/>
        <v>120840.5</v>
      </c>
      <c r="O267" t="str">
        <f>IF(DataTable[[#This Row],[Profit]]/DataTable[[#This Row],[COGS]]*100&gt;20,"Achived","Not Achived")</f>
        <v>Achived</v>
      </c>
      <c r="P267" s="25">
        <f>DataTable[[#This Row],[Profit]]/DataTable[[#This Row],[COGS]]</f>
        <v>0.33269230769230768</v>
      </c>
      <c r="Q267">
        <f>DataTable[[#This Row],[Manufacturing Price]]*DataTable[[#This Row],[Units Sold]]</f>
        <v>4191</v>
      </c>
      <c r="R267" s="26">
        <f>DataTable[[#This Row],[COGS]]-DataTable[[#This Row],[MC_US]]</f>
        <v>359029</v>
      </c>
      <c r="S267" s="26">
        <f>IF(DataTable[[#This Row],[COGS-MC_US]]&gt;=0,DataTable[[#This Row],[Manufacturing Price]],DataTable[[#This Row],[COGS]]/DataTable[[#This Row],[Units Sold]])</f>
        <v>3</v>
      </c>
    </row>
    <row r="268" spans="1:19" ht="12.75" hidden="1" x14ac:dyDescent="0.2">
      <c r="A268" s="20">
        <v>41760</v>
      </c>
      <c r="B268" t="s">
        <v>396</v>
      </c>
      <c r="C268" t="s">
        <v>388</v>
      </c>
      <c r="D268" t="s">
        <v>352</v>
      </c>
      <c r="E268" t="str">
        <f>VLOOKUP(DataTable[[#This Row],[Country]],Market!B:C,2,FALSE)</f>
        <v>North America</v>
      </c>
      <c r="F268" s="24">
        <v>120</v>
      </c>
      <c r="G268" s="24">
        <v>1810</v>
      </c>
      <c r="H268" s="24">
        <v>7</v>
      </c>
      <c r="I268" s="27">
        <v>362</v>
      </c>
      <c r="J268" s="24">
        <v>2534</v>
      </c>
      <c r="K268" s="24">
        <v>25.34</v>
      </c>
      <c r="L268" s="1" t="s">
        <v>57</v>
      </c>
      <c r="M268" s="24">
        <v>2508.66</v>
      </c>
      <c r="N268" s="24">
        <f t="shared" si="4"/>
        <v>698.65999999999985</v>
      </c>
      <c r="O268" t="str">
        <f>IF(DataTable[[#This Row],[Profit]]/DataTable[[#This Row],[COGS]]*100&gt;20,"Achived","Not Achived")</f>
        <v>Achived</v>
      </c>
      <c r="P268" s="25">
        <f>DataTable[[#This Row],[Profit]]/DataTable[[#This Row],[COGS]]</f>
        <v>0.3859999999999999</v>
      </c>
      <c r="Q268">
        <f>DataTable[[#This Row],[Manufacturing Price]]*DataTable[[#This Row],[Units Sold]]</f>
        <v>43440</v>
      </c>
      <c r="R268" s="26">
        <f>DataTable[[#This Row],[COGS]]-DataTable[[#This Row],[MC_US]]</f>
        <v>-41630</v>
      </c>
      <c r="S268" s="26">
        <f>IF(DataTable[[#This Row],[COGS-MC_US]]&gt;=0,DataTable[[#This Row],[Manufacturing Price]],DataTable[[#This Row],[COGS]]/DataTable[[#This Row],[Units Sold]])</f>
        <v>5</v>
      </c>
    </row>
    <row r="269" spans="1:19" ht="12.75" hidden="1" x14ac:dyDescent="0.2">
      <c r="A269" s="20">
        <v>41913</v>
      </c>
      <c r="B269" t="s">
        <v>397</v>
      </c>
      <c r="C269" t="s">
        <v>388</v>
      </c>
      <c r="D269" t="s">
        <v>352</v>
      </c>
      <c r="E269" t="str">
        <f>VLOOKUP(DataTable[[#This Row],[Country]],Market!B:C,2,FALSE)</f>
        <v>North America</v>
      </c>
      <c r="F269" s="24">
        <v>250</v>
      </c>
      <c r="G269" s="24">
        <v>363220</v>
      </c>
      <c r="H269" s="24">
        <v>350</v>
      </c>
      <c r="I269" s="27">
        <v>1397</v>
      </c>
      <c r="J269" s="24">
        <v>488950</v>
      </c>
      <c r="K269" s="24">
        <v>4889.5</v>
      </c>
      <c r="L269" s="1" t="s">
        <v>57</v>
      </c>
      <c r="M269" s="24">
        <v>484060.5</v>
      </c>
      <c r="N269" s="24">
        <f t="shared" si="4"/>
        <v>120840.5</v>
      </c>
      <c r="O269" t="str">
        <f>IF(DataTable[[#This Row],[Profit]]/DataTable[[#This Row],[COGS]]*100&gt;20,"Achived","Not Achived")</f>
        <v>Achived</v>
      </c>
      <c r="P269" s="25">
        <f>DataTable[[#This Row],[Profit]]/DataTable[[#This Row],[COGS]]</f>
        <v>0.33269230769230768</v>
      </c>
      <c r="Q269">
        <f>DataTable[[#This Row],[Manufacturing Price]]*DataTable[[#This Row],[Units Sold]]</f>
        <v>349250</v>
      </c>
      <c r="R269" s="26">
        <f>DataTable[[#This Row],[COGS]]-DataTable[[#This Row],[MC_US]]</f>
        <v>13970</v>
      </c>
      <c r="S269" s="26">
        <f>IF(DataTable[[#This Row],[COGS-MC_US]]&gt;=0,DataTable[[#This Row],[Manufacturing Price]],DataTable[[#This Row],[COGS]]/DataTable[[#This Row],[Units Sold]])</f>
        <v>250</v>
      </c>
    </row>
    <row r="270" spans="1:19" ht="12.75" hidden="1" x14ac:dyDescent="0.2">
      <c r="A270" s="20">
        <v>41609</v>
      </c>
      <c r="B270" t="s">
        <v>396</v>
      </c>
      <c r="C270" t="s">
        <v>388</v>
      </c>
      <c r="D270" t="s">
        <v>352</v>
      </c>
      <c r="E270" t="str">
        <f>VLOOKUP(DataTable[[#This Row],[Country]],Market!B:C,2,FALSE)</f>
        <v>North America</v>
      </c>
      <c r="F270" s="24">
        <v>120</v>
      </c>
      <c r="G270" s="24">
        <v>5440</v>
      </c>
      <c r="H270" s="24">
        <v>20</v>
      </c>
      <c r="I270" s="27">
        <v>544</v>
      </c>
      <c r="J270" s="24">
        <v>10880</v>
      </c>
      <c r="K270" s="24">
        <v>217.6</v>
      </c>
      <c r="L270" s="1" t="s">
        <v>57</v>
      </c>
      <c r="M270" s="24">
        <v>10662.4</v>
      </c>
      <c r="N270" s="24">
        <f t="shared" si="4"/>
        <v>5222.3999999999996</v>
      </c>
      <c r="O270" t="str">
        <f>IF(DataTable[[#This Row],[Profit]]/DataTable[[#This Row],[COGS]]*100&gt;20,"Achived","Not Achived")</f>
        <v>Achived</v>
      </c>
      <c r="P270" s="25">
        <f>DataTable[[#This Row],[Profit]]/DataTable[[#This Row],[COGS]]</f>
        <v>0.96</v>
      </c>
      <c r="Q270">
        <f>DataTable[[#This Row],[Manufacturing Price]]*DataTable[[#This Row],[Units Sold]]</f>
        <v>65280</v>
      </c>
      <c r="R270" s="26">
        <f>DataTable[[#This Row],[COGS]]-DataTable[[#This Row],[MC_US]]</f>
        <v>-59840</v>
      </c>
      <c r="S270" s="26">
        <f>IF(DataTable[[#This Row],[COGS-MC_US]]&gt;=0,DataTable[[#This Row],[Manufacturing Price]],DataTable[[#This Row],[COGS]]/DataTable[[#This Row],[Units Sold]])</f>
        <v>10</v>
      </c>
    </row>
    <row r="271" spans="1:19" ht="12.75" hidden="1" x14ac:dyDescent="0.2">
      <c r="A271" s="20">
        <v>41609</v>
      </c>
      <c r="B271" t="s">
        <v>397</v>
      </c>
      <c r="C271" t="s">
        <v>388</v>
      </c>
      <c r="D271" t="s">
        <v>352</v>
      </c>
      <c r="E271" t="str">
        <f>VLOOKUP(DataTable[[#This Row],[Country]],Market!B:C,2,FALSE)</f>
        <v>North America</v>
      </c>
      <c r="F271" s="24">
        <v>250</v>
      </c>
      <c r="G271" s="24">
        <v>504400</v>
      </c>
      <c r="H271" s="24">
        <v>350</v>
      </c>
      <c r="I271" s="27">
        <v>1940</v>
      </c>
      <c r="J271" s="24">
        <v>679000</v>
      </c>
      <c r="K271" s="24">
        <v>13580</v>
      </c>
      <c r="L271" s="1" t="s">
        <v>57</v>
      </c>
      <c r="M271" s="24">
        <v>665420</v>
      </c>
      <c r="N271" s="24">
        <f t="shared" si="4"/>
        <v>161020</v>
      </c>
      <c r="O271" t="str">
        <f>IF(DataTable[[#This Row],[Profit]]/DataTable[[#This Row],[COGS]]*100&gt;20,"Achived","Not Achived")</f>
        <v>Achived</v>
      </c>
      <c r="P271" s="25">
        <f>DataTable[[#This Row],[Profit]]/DataTable[[#This Row],[COGS]]</f>
        <v>0.31923076923076921</v>
      </c>
      <c r="Q271">
        <f>DataTable[[#This Row],[Manufacturing Price]]*DataTable[[#This Row],[Units Sold]]</f>
        <v>485000</v>
      </c>
      <c r="R271" s="26">
        <f>DataTable[[#This Row],[COGS]]-DataTable[[#This Row],[MC_US]]</f>
        <v>19400</v>
      </c>
      <c r="S271" s="26">
        <f>IF(DataTable[[#This Row],[COGS-MC_US]]&gt;=0,DataTable[[#This Row],[Manufacturing Price]],DataTable[[#This Row],[COGS]]/DataTable[[#This Row],[Units Sold]])</f>
        <v>250</v>
      </c>
    </row>
    <row r="272" spans="1:19" ht="12.75" hidden="1" x14ac:dyDescent="0.2">
      <c r="A272" s="20">
        <v>41852</v>
      </c>
      <c r="B272" t="s">
        <v>397</v>
      </c>
      <c r="C272" t="s">
        <v>388</v>
      </c>
      <c r="D272" t="s">
        <v>352</v>
      </c>
      <c r="E272" t="str">
        <f>VLOOKUP(DataTable[[#This Row],[Country]],Market!B:C,2,FALSE)</f>
        <v>North America</v>
      </c>
      <c r="F272" s="24">
        <v>250</v>
      </c>
      <c r="G272" s="24">
        <v>426920</v>
      </c>
      <c r="H272" s="24">
        <v>350</v>
      </c>
      <c r="I272" s="27">
        <v>1642</v>
      </c>
      <c r="J272" s="24">
        <v>574700</v>
      </c>
      <c r="K272" s="24">
        <v>17241</v>
      </c>
      <c r="L272" s="1" t="s">
        <v>57</v>
      </c>
      <c r="M272" s="24">
        <v>557459</v>
      </c>
      <c r="N272" s="24">
        <f t="shared" si="4"/>
        <v>130539</v>
      </c>
      <c r="O272" t="str">
        <f>IF(DataTable[[#This Row],[Profit]]/DataTable[[#This Row],[COGS]]*100&gt;20,"Achived","Not Achived")</f>
        <v>Achived</v>
      </c>
      <c r="P272" s="25">
        <f>DataTable[[#This Row],[Profit]]/DataTable[[#This Row],[COGS]]</f>
        <v>0.30576923076923079</v>
      </c>
      <c r="Q272">
        <f>DataTable[[#This Row],[Manufacturing Price]]*DataTable[[#This Row],[Units Sold]]</f>
        <v>410500</v>
      </c>
      <c r="R272" s="26">
        <f>DataTable[[#This Row],[COGS]]-DataTable[[#This Row],[MC_US]]</f>
        <v>16420</v>
      </c>
      <c r="S272" s="26">
        <f>IF(DataTable[[#This Row],[COGS-MC_US]]&gt;=0,DataTable[[#This Row],[Manufacturing Price]],DataTable[[#This Row],[COGS]]/DataTable[[#This Row],[Units Sold]])</f>
        <v>250</v>
      </c>
    </row>
    <row r="273" spans="1:19" ht="12.75" hidden="1" x14ac:dyDescent="0.2">
      <c r="A273" s="20">
        <v>41518</v>
      </c>
      <c r="B273" t="s">
        <v>395</v>
      </c>
      <c r="C273" t="s">
        <v>388</v>
      </c>
      <c r="D273" t="s">
        <v>352</v>
      </c>
      <c r="E273" t="str">
        <f>VLOOKUP(DataTable[[#This Row],[Country]],Market!B:C,2,FALSE)</f>
        <v>North America</v>
      </c>
      <c r="F273" s="24">
        <v>10</v>
      </c>
      <c r="G273" s="24">
        <v>8800</v>
      </c>
      <c r="H273" s="24">
        <v>7</v>
      </c>
      <c r="I273" s="27">
        <v>1760</v>
      </c>
      <c r="J273" s="24">
        <v>12320</v>
      </c>
      <c r="K273" s="24">
        <v>369.6</v>
      </c>
      <c r="L273" s="1" t="s">
        <v>57</v>
      </c>
      <c r="M273" s="24">
        <v>11950.4</v>
      </c>
      <c r="N273" s="24">
        <f t="shared" si="4"/>
        <v>3150.3999999999996</v>
      </c>
      <c r="O273" t="str">
        <f>IF(DataTable[[#This Row],[Profit]]/DataTable[[#This Row],[COGS]]*100&gt;20,"Achived","Not Achived")</f>
        <v>Achived</v>
      </c>
      <c r="P273" s="25">
        <f>DataTable[[#This Row],[Profit]]/DataTable[[#This Row],[COGS]]</f>
        <v>0.35799999999999998</v>
      </c>
      <c r="Q273">
        <f>DataTable[[#This Row],[Manufacturing Price]]*DataTable[[#This Row],[Units Sold]]</f>
        <v>17600</v>
      </c>
      <c r="R273" s="26">
        <f>DataTable[[#This Row],[COGS]]-DataTable[[#This Row],[MC_US]]</f>
        <v>-8800</v>
      </c>
      <c r="S273" s="26">
        <f>IF(DataTable[[#This Row],[COGS-MC_US]]&gt;=0,DataTable[[#This Row],[Manufacturing Price]],DataTable[[#This Row],[COGS]]/DataTable[[#This Row],[Units Sold]])</f>
        <v>5</v>
      </c>
    </row>
    <row r="274" spans="1:19" ht="12.75" hidden="1" x14ac:dyDescent="0.2">
      <c r="A274" s="20">
        <v>41671</v>
      </c>
      <c r="B274" t="s">
        <v>398</v>
      </c>
      <c r="C274" t="s">
        <v>388</v>
      </c>
      <c r="D274" t="s">
        <v>352</v>
      </c>
      <c r="E274" t="str">
        <f>VLOOKUP(DataTable[[#This Row],[Country]],Market!B:C,2,FALSE)</f>
        <v>North America</v>
      </c>
      <c r="F274" s="24">
        <v>260</v>
      </c>
      <c r="G274" s="24">
        <v>484900</v>
      </c>
      <c r="H274" s="24">
        <v>350</v>
      </c>
      <c r="I274" s="27">
        <v>1865</v>
      </c>
      <c r="J274" s="24">
        <v>652750</v>
      </c>
      <c r="K274" s="24">
        <v>26110</v>
      </c>
      <c r="L274" s="1" t="s">
        <v>57</v>
      </c>
      <c r="M274" s="24">
        <v>626640</v>
      </c>
      <c r="N274" s="24">
        <f t="shared" si="4"/>
        <v>141740</v>
      </c>
      <c r="O274" t="str">
        <f>IF(DataTable[[#This Row],[Profit]]/DataTable[[#This Row],[COGS]]*100&gt;20,"Achived","Not Achived")</f>
        <v>Achived</v>
      </c>
      <c r="P274" s="25">
        <f>DataTable[[#This Row],[Profit]]/DataTable[[#This Row],[COGS]]</f>
        <v>0.29230769230769232</v>
      </c>
      <c r="Q274">
        <f>DataTable[[#This Row],[Manufacturing Price]]*DataTable[[#This Row],[Units Sold]]</f>
        <v>484900</v>
      </c>
      <c r="R274" s="26">
        <f>DataTable[[#This Row],[COGS]]-DataTable[[#This Row],[MC_US]]</f>
        <v>0</v>
      </c>
      <c r="S274" s="26">
        <f>IF(DataTable[[#This Row],[COGS-MC_US]]&gt;=0,DataTable[[#This Row],[Manufacturing Price]],DataTable[[#This Row],[COGS]]/DataTable[[#This Row],[Units Sold]])</f>
        <v>260</v>
      </c>
    </row>
    <row r="275" spans="1:19" ht="12.75" hidden="1" x14ac:dyDescent="0.2">
      <c r="A275" s="20">
        <v>41913</v>
      </c>
      <c r="B275" t="s">
        <v>395</v>
      </c>
      <c r="C275" t="s">
        <v>388</v>
      </c>
      <c r="D275" t="s">
        <v>352</v>
      </c>
      <c r="E275" t="str">
        <f>VLOOKUP(DataTable[[#This Row],[Country]],Market!B:C,2,FALSE)</f>
        <v>North America</v>
      </c>
      <c r="F275" s="24">
        <v>10</v>
      </c>
      <c r="G275" s="24">
        <v>13445</v>
      </c>
      <c r="H275" s="24">
        <v>7</v>
      </c>
      <c r="I275" s="27">
        <v>2689</v>
      </c>
      <c r="J275" s="24">
        <v>18823</v>
      </c>
      <c r="K275" s="24">
        <v>941.15</v>
      </c>
      <c r="L275" s="1" t="s">
        <v>124</v>
      </c>
      <c r="M275" s="24">
        <v>17881.849999999999</v>
      </c>
      <c r="N275" s="24">
        <f t="shared" si="4"/>
        <v>4436.8499999999985</v>
      </c>
      <c r="O275" t="str">
        <f>IF(DataTable[[#This Row],[Profit]]/DataTable[[#This Row],[COGS]]*100&gt;20,"Achived","Not Achived")</f>
        <v>Achived</v>
      </c>
      <c r="P275" s="25">
        <f>DataTable[[#This Row],[Profit]]/DataTable[[#This Row],[COGS]]</f>
        <v>0.3299999999999999</v>
      </c>
      <c r="Q275">
        <f>DataTable[[#This Row],[Manufacturing Price]]*DataTable[[#This Row],[Units Sold]]</f>
        <v>26890</v>
      </c>
      <c r="R275" s="26">
        <f>DataTable[[#This Row],[COGS]]-DataTable[[#This Row],[MC_US]]</f>
        <v>-13445</v>
      </c>
      <c r="S275" s="26">
        <f>IF(DataTable[[#This Row],[COGS-MC_US]]&gt;=0,DataTable[[#This Row],[Manufacturing Price]],DataTable[[#This Row],[COGS]]/DataTable[[#This Row],[Units Sold]])</f>
        <v>5</v>
      </c>
    </row>
    <row r="276" spans="1:19" ht="12.75" hidden="1" x14ac:dyDescent="0.2">
      <c r="A276" s="20">
        <v>41913</v>
      </c>
      <c r="B276" t="s">
        <v>397</v>
      </c>
      <c r="C276" t="s">
        <v>388</v>
      </c>
      <c r="D276" t="s">
        <v>352</v>
      </c>
      <c r="E276" t="str">
        <f>VLOOKUP(DataTable[[#This Row],[Country]],Market!B:C,2,FALSE)</f>
        <v>North America</v>
      </c>
      <c r="F276" s="24">
        <v>250</v>
      </c>
      <c r="G276" s="24">
        <v>13445</v>
      </c>
      <c r="H276" s="24">
        <v>7</v>
      </c>
      <c r="I276" s="27">
        <v>2689</v>
      </c>
      <c r="J276" s="24">
        <v>18823</v>
      </c>
      <c r="K276" s="24">
        <v>941.15</v>
      </c>
      <c r="L276" s="1" t="s">
        <v>124</v>
      </c>
      <c r="M276" s="24">
        <v>17881.849999999999</v>
      </c>
      <c r="N276" s="24">
        <f t="shared" si="4"/>
        <v>4436.8499999999985</v>
      </c>
      <c r="O276" t="str">
        <f>IF(DataTable[[#This Row],[Profit]]/DataTable[[#This Row],[COGS]]*100&gt;20,"Achived","Not Achived")</f>
        <v>Achived</v>
      </c>
      <c r="P276" s="25">
        <f>DataTable[[#This Row],[Profit]]/DataTable[[#This Row],[COGS]]</f>
        <v>0.3299999999999999</v>
      </c>
      <c r="Q276">
        <f>DataTable[[#This Row],[Manufacturing Price]]*DataTable[[#This Row],[Units Sold]]</f>
        <v>672250</v>
      </c>
      <c r="R276" s="26">
        <f>DataTable[[#This Row],[COGS]]-DataTable[[#This Row],[MC_US]]</f>
        <v>-658805</v>
      </c>
      <c r="S276" s="26">
        <f>IF(DataTable[[#This Row],[COGS-MC_US]]&gt;=0,DataTable[[#This Row],[Manufacturing Price]],DataTable[[#This Row],[COGS]]/DataTable[[#This Row],[Units Sold]])</f>
        <v>5</v>
      </c>
    </row>
    <row r="277" spans="1:19" ht="12.75" hidden="1" x14ac:dyDescent="0.2">
      <c r="A277" s="20">
        <v>41821</v>
      </c>
      <c r="B277" t="s">
        <v>398</v>
      </c>
      <c r="C277" t="s">
        <v>388</v>
      </c>
      <c r="D277" t="s">
        <v>352</v>
      </c>
      <c r="E277" t="str">
        <f>VLOOKUP(DataTable[[#This Row],[Country]],Market!B:C,2,FALSE)</f>
        <v>North America</v>
      </c>
      <c r="F277" s="24">
        <v>260</v>
      </c>
      <c r="G277" s="24">
        <v>8415</v>
      </c>
      <c r="H277" s="24">
        <v>7</v>
      </c>
      <c r="I277" s="27">
        <v>1683</v>
      </c>
      <c r="J277" s="24">
        <v>11781</v>
      </c>
      <c r="K277" s="24">
        <v>589.04999999999995</v>
      </c>
      <c r="L277" s="1" t="s">
        <v>124</v>
      </c>
      <c r="M277" s="24">
        <v>11191.95</v>
      </c>
      <c r="N277" s="24">
        <f t="shared" si="4"/>
        <v>2776.9500000000007</v>
      </c>
      <c r="O277" t="str">
        <f>IF(DataTable[[#This Row],[Profit]]/DataTable[[#This Row],[COGS]]*100&gt;20,"Achived","Not Achived")</f>
        <v>Achived</v>
      </c>
      <c r="P277" s="25">
        <f>DataTable[[#This Row],[Profit]]/DataTable[[#This Row],[COGS]]</f>
        <v>0.33000000000000007</v>
      </c>
      <c r="Q277">
        <f>DataTable[[#This Row],[Manufacturing Price]]*DataTable[[#This Row],[Units Sold]]</f>
        <v>437580</v>
      </c>
      <c r="R277" s="26">
        <f>DataTable[[#This Row],[COGS]]-DataTable[[#This Row],[MC_US]]</f>
        <v>-429165</v>
      </c>
      <c r="S277" s="26">
        <f>IF(DataTable[[#This Row],[COGS-MC_US]]&gt;=0,DataTable[[#This Row],[Manufacturing Price]],DataTable[[#This Row],[COGS]]/DataTable[[#This Row],[Units Sold]])</f>
        <v>5</v>
      </c>
    </row>
    <row r="278" spans="1:19" ht="12.75" hidden="1" x14ac:dyDescent="0.2">
      <c r="A278" s="20">
        <v>41518</v>
      </c>
      <c r="B278" t="s">
        <v>391</v>
      </c>
      <c r="C278" t="s">
        <v>388</v>
      </c>
      <c r="D278" t="s">
        <v>352</v>
      </c>
      <c r="E278" t="str">
        <f>VLOOKUP(DataTable[[#This Row],[Country]],Market!B:C,2,FALSE)</f>
        <v>North America</v>
      </c>
      <c r="F278" s="24">
        <v>5</v>
      </c>
      <c r="G278" s="24">
        <v>187200</v>
      </c>
      <c r="H278" s="24">
        <v>350</v>
      </c>
      <c r="I278" s="27">
        <v>720</v>
      </c>
      <c r="J278" s="24">
        <v>252000</v>
      </c>
      <c r="K278" s="24">
        <v>12600</v>
      </c>
      <c r="L278" s="1" t="s">
        <v>124</v>
      </c>
      <c r="M278" s="24">
        <v>239400</v>
      </c>
      <c r="N278" s="24">
        <f t="shared" si="4"/>
        <v>52200</v>
      </c>
      <c r="O278" t="str">
        <f>IF(DataTable[[#This Row],[Profit]]/DataTable[[#This Row],[COGS]]*100&gt;20,"Achived","Not Achived")</f>
        <v>Achived</v>
      </c>
      <c r="P278" s="25">
        <f>DataTable[[#This Row],[Profit]]/DataTable[[#This Row],[COGS]]</f>
        <v>0.27884615384615385</v>
      </c>
      <c r="Q278">
        <f>DataTable[[#This Row],[Manufacturing Price]]*DataTable[[#This Row],[Units Sold]]</f>
        <v>3600</v>
      </c>
      <c r="R278" s="26">
        <f>DataTable[[#This Row],[COGS]]-DataTable[[#This Row],[MC_US]]</f>
        <v>183600</v>
      </c>
      <c r="S278" s="26">
        <f>IF(DataTable[[#This Row],[COGS-MC_US]]&gt;=0,DataTable[[#This Row],[Manufacturing Price]],DataTable[[#This Row],[COGS]]/DataTable[[#This Row],[Units Sold]])</f>
        <v>5</v>
      </c>
    </row>
    <row r="279" spans="1:19" ht="12.75" hidden="1" x14ac:dyDescent="0.2">
      <c r="A279" s="20">
        <v>41730</v>
      </c>
      <c r="B279" t="s">
        <v>391</v>
      </c>
      <c r="C279" t="s">
        <v>388</v>
      </c>
      <c r="D279" t="s">
        <v>352</v>
      </c>
      <c r="E279" t="str">
        <f>VLOOKUP(DataTable[[#This Row],[Country]],Market!B:C,2,FALSE)</f>
        <v>North America</v>
      </c>
      <c r="F279" s="24">
        <v>5</v>
      </c>
      <c r="G279" s="24">
        <v>254800</v>
      </c>
      <c r="H279" s="24">
        <v>350</v>
      </c>
      <c r="I279" s="27">
        <v>980</v>
      </c>
      <c r="J279" s="24">
        <v>343000</v>
      </c>
      <c r="K279" s="24">
        <v>20580</v>
      </c>
      <c r="L279" s="1" t="s">
        <v>124</v>
      </c>
      <c r="M279" s="24">
        <v>322420</v>
      </c>
      <c r="N279" s="24">
        <f t="shared" si="4"/>
        <v>67620</v>
      </c>
      <c r="O279" t="str">
        <f>IF(DataTable[[#This Row],[Profit]]/DataTable[[#This Row],[COGS]]*100&gt;20,"Achived","Not Achived")</f>
        <v>Achived</v>
      </c>
      <c r="P279" s="25">
        <f>DataTable[[#This Row],[Profit]]/DataTable[[#This Row],[COGS]]</f>
        <v>0.26538461538461539</v>
      </c>
      <c r="Q279">
        <f>DataTable[[#This Row],[Manufacturing Price]]*DataTable[[#This Row],[Units Sold]]</f>
        <v>4900</v>
      </c>
      <c r="R279" s="26">
        <f>DataTable[[#This Row],[COGS]]-DataTable[[#This Row],[MC_US]]</f>
        <v>249900</v>
      </c>
      <c r="S279" s="26">
        <f>IF(DataTable[[#This Row],[COGS-MC_US]]&gt;=0,DataTable[[#This Row],[Manufacturing Price]],DataTable[[#This Row],[COGS]]/DataTable[[#This Row],[Units Sold]])</f>
        <v>5</v>
      </c>
    </row>
    <row r="280" spans="1:19" ht="12.75" hidden="1" x14ac:dyDescent="0.2">
      <c r="A280" s="20">
        <v>41791</v>
      </c>
      <c r="B280" t="s">
        <v>396</v>
      </c>
      <c r="C280" t="s">
        <v>388</v>
      </c>
      <c r="D280" t="s">
        <v>352</v>
      </c>
      <c r="E280" t="str">
        <f>VLOOKUP(DataTable[[#This Row],[Country]],Market!B:C,2,FALSE)</f>
        <v>North America</v>
      </c>
      <c r="F280" s="24">
        <v>120</v>
      </c>
      <c r="G280" s="24">
        <v>7490</v>
      </c>
      <c r="H280" s="24">
        <v>7</v>
      </c>
      <c r="I280" s="27">
        <v>1498</v>
      </c>
      <c r="J280" s="24">
        <v>10486</v>
      </c>
      <c r="K280" s="24">
        <v>629.16</v>
      </c>
      <c r="L280" s="1" t="s">
        <v>124</v>
      </c>
      <c r="M280" s="24">
        <v>9856.84</v>
      </c>
      <c r="N280" s="24">
        <f t="shared" si="4"/>
        <v>2366.84</v>
      </c>
      <c r="O280" t="str">
        <f>IF(DataTable[[#This Row],[Profit]]/DataTable[[#This Row],[COGS]]*100&gt;20,"Achived","Not Achived")</f>
        <v>Achived</v>
      </c>
      <c r="P280" s="25">
        <f>DataTable[[#This Row],[Profit]]/DataTable[[#This Row],[COGS]]</f>
        <v>0.316</v>
      </c>
      <c r="Q280">
        <f>DataTable[[#This Row],[Manufacturing Price]]*DataTable[[#This Row],[Units Sold]]</f>
        <v>179760</v>
      </c>
      <c r="R280" s="26">
        <f>DataTable[[#This Row],[COGS]]-DataTable[[#This Row],[MC_US]]</f>
        <v>-172270</v>
      </c>
      <c r="S280" s="26">
        <f>IF(DataTable[[#This Row],[COGS-MC_US]]&gt;=0,DataTable[[#This Row],[Manufacturing Price]],DataTable[[#This Row],[COGS]]/DataTable[[#This Row],[Units Sold]])</f>
        <v>5</v>
      </c>
    </row>
    <row r="281" spans="1:19" ht="12.75" hidden="1" x14ac:dyDescent="0.2">
      <c r="A281" s="20">
        <v>41791</v>
      </c>
      <c r="B281" t="s">
        <v>397</v>
      </c>
      <c r="C281" t="s">
        <v>388</v>
      </c>
      <c r="D281" t="s">
        <v>352</v>
      </c>
      <c r="E281" t="str">
        <f>VLOOKUP(DataTable[[#This Row],[Country]],Market!B:C,2,FALSE)</f>
        <v>North America</v>
      </c>
      <c r="F281" s="24">
        <v>250</v>
      </c>
      <c r="G281" s="24">
        <v>7490</v>
      </c>
      <c r="H281" s="24">
        <v>7</v>
      </c>
      <c r="I281" s="27">
        <v>1498</v>
      </c>
      <c r="J281" s="24">
        <v>10486</v>
      </c>
      <c r="K281" s="24">
        <v>629.16</v>
      </c>
      <c r="L281" s="1" t="s">
        <v>124</v>
      </c>
      <c r="M281" s="24">
        <v>9856.84</v>
      </c>
      <c r="N281" s="24">
        <f t="shared" si="4"/>
        <v>2366.84</v>
      </c>
      <c r="O281" t="str">
        <f>IF(DataTable[[#This Row],[Profit]]/DataTable[[#This Row],[COGS]]*100&gt;20,"Achived","Not Achived")</f>
        <v>Achived</v>
      </c>
      <c r="P281" s="25">
        <f>DataTable[[#This Row],[Profit]]/DataTable[[#This Row],[COGS]]</f>
        <v>0.316</v>
      </c>
      <c r="Q281">
        <f>DataTable[[#This Row],[Manufacturing Price]]*DataTable[[#This Row],[Units Sold]]</f>
        <v>374500</v>
      </c>
      <c r="R281" s="26">
        <f>DataTable[[#This Row],[COGS]]-DataTable[[#This Row],[MC_US]]</f>
        <v>-367010</v>
      </c>
      <c r="S281" s="26">
        <f>IF(DataTable[[#This Row],[COGS-MC_US]]&gt;=0,DataTable[[#This Row],[Manufacturing Price]],DataTable[[#This Row],[COGS]]/DataTable[[#This Row],[Units Sold]])</f>
        <v>5</v>
      </c>
    </row>
    <row r="282" spans="1:19" ht="12.75" hidden="1" x14ac:dyDescent="0.2">
      <c r="A282" s="20">
        <v>41579</v>
      </c>
      <c r="B282" t="s">
        <v>397</v>
      </c>
      <c r="C282" t="s">
        <v>388</v>
      </c>
      <c r="D282" t="s">
        <v>352</v>
      </c>
      <c r="E282" t="str">
        <f>VLOOKUP(DataTable[[#This Row],[Country]],Market!B:C,2,FALSE)</f>
        <v>North America</v>
      </c>
      <c r="F282" s="24">
        <v>250</v>
      </c>
      <c r="G282" s="24">
        <v>11230</v>
      </c>
      <c r="H282" s="24">
        <v>20</v>
      </c>
      <c r="I282" s="27">
        <v>1123</v>
      </c>
      <c r="J282" s="24">
        <v>22460</v>
      </c>
      <c r="K282" s="24">
        <v>1347.6</v>
      </c>
      <c r="L282" s="1" t="s">
        <v>124</v>
      </c>
      <c r="M282" s="24">
        <v>21112.400000000001</v>
      </c>
      <c r="N282" s="24">
        <f t="shared" si="4"/>
        <v>9882.4000000000015</v>
      </c>
      <c r="O282" t="str">
        <f>IF(DataTable[[#This Row],[Profit]]/DataTable[[#This Row],[COGS]]*100&gt;20,"Achived","Not Achived")</f>
        <v>Achived</v>
      </c>
      <c r="P282" s="25">
        <f>DataTable[[#This Row],[Profit]]/DataTable[[#This Row],[COGS]]</f>
        <v>0.88000000000000012</v>
      </c>
      <c r="Q282">
        <f>DataTable[[#This Row],[Manufacturing Price]]*DataTable[[#This Row],[Units Sold]]</f>
        <v>280750</v>
      </c>
      <c r="R282" s="26">
        <f>DataTable[[#This Row],[COGS]]-DataTable[[#This Row],[MC_US]]</f>
        <v>-269520</v>
      </c>
      <c r="S282" s="26">
        <f>IF(DataTable[[#This Row],[COGS-MC_US]]&gt;=0,DataTable[[#This Row],[Manufacturing Price]],DataTable[[#This Row],[COGS]]/DataTable[[#This Row],[Units Sold]])</f>
        <v>10</v>
      </c>
    </row>
    <row r="283" spans="1:19" ht="12.75" hidden="1" x14ac:dyDescent="0.2">
      <c r="A283" s="20">
        <v>41883</v>
      </c>
      <c r="B283" t="s">
        <v>398</v>
      </c>
      <c r="C283" t="s">
        <v>388</v>
      </c>
      <c r="D283" t="s">
        <v>352</v>
      </c>
      <c r="E283" t="str">
        <f>VLOOKUP(DataTable[[#This Row],[Country]],Market!B:C,2,FALSE)</f>
        <v>North America</v>
      </c>
      <c r="F283" s="24">
        <v>260</v>
      </c>
      <c r="G283" s="24">
        <v>436540</v>
      </c>
      <c r="H283" s="24">
        <v>350</v>
      </c>
      <c r="I283" s="27">
        <v>1679</v>
      </c>
      <c r="J283" s="24">
        <v>587650</v>
      </c>
      <c r="K283" s="24">
        <v>35259</v>
      </c>
      <c r="L283" s="1" t="s">
        <v>124</v>
      </c>
      <c r="M283" s="24">
        <v>552391</v>
      </c>
      <c r="N283" s="24">
        <f t="shared" si="4"/>
        <v>115851</v>
      </c>
      <c r="O283" t="str">
        <f>IF(DataTable[[#This Row],[Profit]]/DataTable[[#This Row],[COGS]]*100&gt;20,"Achived","Not Achived")</f>
        <v>Achived</v>
      </c>
      <c r="P283" s="25">
        <f>DataTable[[#This Row],[Profit]]/DataTable[[#This Row],[COGS]]</f>
        <v>0.26538461538461539</v>
      </c>
      <c r="Q283">
        <f>DataTable[[#This Row],[Manufacturing Price]]*DataTable[[#This Row],[Units Sold]]</f>
        <v>436540</v>
      </c>
      <c r="R283" s="26">
        <f>DataTable[[#This Row],[COGS]]-DataTable[[#This Row],[MC_US]]</f>
        <v>0</v>
      </c>
      <c r="S283" s="26">
        <f>IF(DataTable[[#This Row],[COGS-MC_US]]&gt;=0,DataTable[[#This Row],[Manufacturing Price]],DataTable[[#This Row],[COGS]]/DataTable[[#This Row],[Units Sold]])</f>
        <v>260</v>
      </c>
    </row>
    <row r="284" spans="1:19" ht="12.75" hidden="1" x14ac:dyDescent="0.2">
      <c r="A284" s="20">
        <v>41944</v>
      </c>
      <c r="B284" t="s">
        <v>396</v>
      </c>
      <c r="C284" t="s">
        <v>388</v>
      </c>
      <c r="D284" t="s">
        <v>352</v>
      </c>
      <c r="E284" t="str">
        <f>VLOOKUP(DataTable[[#This Row],[Country]],Market!B:C,2,FALSE)</f>
        <v>North America</v>
      </c>
      <c r="F284" s="24">
        <v>120</v>
      </c>
      <c r="G284" s="24">
        <v>6665</v>
      </c>
      <c r="H284" s="24">
        <v>7</v>
      </c>
      <c r="I284" s="27">
        <v>1333</v>
      </c>
      <c r="J284" s="24">
        <v>9331</v>
      </c>
      <c r="K284" s="24">
        <v>559.86</v>
      </c>
      <c r="L284" s="1" t="s">
        <v>124</v>
      </c>
      <c r="M284" s="24">
        <v>8771.14</v>
      </c>
      <c r="N284" s="24">
        <f t="shared" si="4"/>
        <v>2106.1399999999994</v>
      </c>
      <c r="O284" t="str">
        <f>IF(DataTable[[#This Row],[Profit]]/DataTable[[#This Row],[COGS]]*100&gt;20,"Achived","Not Achived")</f>
        <v>Achived</v>
      </c>
      <c r="P284" s="25">
        <f>DataTable[[#This Row],[Profit]]/DataTable[[#This Row],[COGS]]</f>
        <v>0.31599999999999989</v>
      </c>
      <c r="Q284">
        <f>DataTable[[#This Row],[Manufacturing Price]]*DataTable[[#This Row],[Units Sold]]</f>
        <v>159960</v>
      </c>
      <c r="R284" s="26">
        <f>DataTable[[#This Row],[COGS]]-DataTable[[#This Row],[MC_US]]</f>
        <v>-153295</v>
      </c>
      <c r="S284" s="26">
        <f>IF(DataTable[[#This Row],[COGS-MC_US]]&gt;=0,DataTable[[#This Row],[Manufacturing Price]],DataTable[[#This Row],[COGS]]/DataTable[[#This Row],[Units Sold]])</f>
        <v>5</v>
      </c>
    </row>
    <row r="285" spans="1:19" ht="12.75" hidden="1" x14ac:dyDescent="0.2">
      <c r="A285" s="20">
        <v>41518</v>
      </c>
      <c r="B285" t="s">
        <v>389</v>
      </c>
      <c r="C285" t="s">
        <v>388</v>
      </c>
      <c r="D285" t="s">
        <v>352</v>
      </c>
      <c r="E285" t="str">
        <f>VLOOKUP(DataTable[[#This Row],[Country]],Market!B:C,2,FALSE)</f>
        <v>North America</v>
      </c>
      <c r="F285" s="24">
        <v>3</v>
      </c>
      <c r="G285" s="24">
        <v>18340</v>
      </c>
      <c r="H285" s="24">
        <v>20</v>
      </c>
      <c r="I285" s="27">
        <v>1834</v>
      </c>
      <c r="J285" s="24">
        <v>36680</v>
      </c>
      <c r="K285" s="24">
        <v>2567.6</v>
      </c>
      <c r="L285" s="1" t="s">
        <v>124</v>
      </c>
      <c r="M285" s="24">
        <v>34112.400000000001</v>
      </c>
      <c r="N285" s="24">
        <f t="shared" si="4"/>
        <v>15772.400000000001</v>
      </c>
      <c r="O285" t="str">
        <f>IF(DataTable[[#This Row],[Profit]]/DataTable[[#This Row],[COGS]]*100&gt;20,"Achived","Not Achived")</f>
        <v>Achived</v>
      </c>
      <c r="P285" s="25">
        <f>DataTable[[#This Row],[Profit]]/DataTable[[#This Row],[COGS]]</f>
        <v>0.8600000000000001</v>
      </c>
      <c r="Q285">
        <f>DataTable[[#This Row],[Manufacturing Price]]*DataTable[[#This Row],[Units Sold]]</f>
        <v>5502</v>
      </c>
      <c r="R285" s="26">
        <f>DataTable[[#This Row],[COGS]]-DataTable[[#This Row],[MC_US]]</f>
        <v>12838</v>
      </c>
      <c r="S285" s="26">
        <f>IF(DataTable[[#This Row],[COGS-MC_US]]&gt;=0,DataTable[[#This Row],[Manufacturing Price]],DataTable[[#This Row],[COGS]]/DataTable[[#This Row],[Units Sold]])</f>
        <v>3</v>
      </c>
    </row>
    <row r="286" spans="1:19" ht="12.75" hidden="1" x14ac:dyDescent="0.2">
      <c r="A286" s="20">
        <v>41852</v>
      </c>
      <c r="B286" t="s">
        <v>396</v>
      </c>
      <c r="C286" t="s">
        <v>388</v>
      </c>
      <c r="D286" t="s">
        <v>352</v>
      </c>
      <c r="E286" t="str">
        <f>VLOOKUP(DataTable[[#This Row],[Country]],Market!B:C,2,FALSE)</f>
        <v>North America</v>
      </c>
      <c r="F286" s="24">
        <v>120</v>
      </c>
      <c r="G286" s="24">
        <v>6090</v>
      </c>
      <c r="H286" s="24">
        <v>20</v>
      </c>
      <c r="I286" s="27">
        <v>609</v>
      </c>
      <c r="J286" s="24">
        <v>12180</v>
      </c>
      <c r="K286" s="24">
        <v>852.6</v>
      </c>
      <c r="L286" s="1" t="s">
        <v>124</v>
      </c>
      <c r="M286" s="24">
        <v>11327.4</v>
      </c>
      <c r="N286" s="24">
        <f t="shared" si="4"/>
        <v>5237.3999999999996</v>
      </c>
      <c r="O286" t="str">
        <f>IF(DataTable[[#This Row],[Profit]]/DataTable[[#This Row],[COGS]]*100&gt;20,"Achived","Not Achived")</f>
        <v>Achived</v>
      </c>
      <c r="P286" s="25">
        <f>DataTable[[#This Row],[Profit]]/DataTable[[#This Row],[COGS]]</f>
        <v>0.86</v>
      </c>
      <c r="Q286">
        <f>DataTable[[#This Row],[Manufacturing Price]]*DataTable[[#This Row],[Units Sold]]</f>
        <v>73080</v>
      </c>
      <c r="R286" s="26">
        <f>DataTable[[#This Row],[COGS]]-DataTable[[#This Row],[MC_US]]</f>
        <v>-66990</v>
      </c>
      <c r="S286" s="26">
        <f>IF(DataTable[[#This Row],[COGS-MC_US]]&gt;=0,DataTable[[#This Row],[Manufacturing Price]],DataTable[[#This Row],[COGS]]/DataTable[[#This Row],[Units Sold]])</f>
        <v>10</v>
      </c>
    </row>
    <row r="287" spans="1:19" ht="12.75" hidden="1" x14ac:dyDescent="0.2">
      <c r="A287" s="20">
        <v>41974</v>
      </c>
      <c r="B287" t="s">
        <v>389</v>
      </c>
      <c r="C287" t="s">
        <v>388</v>
      </c>
      <c r="D287" t="s">
        <v>352</v>
      </c>
      <c r="E287" t="str">
        <f>VLOOKUP(DataTable[[#This Row],[Country]],Market!B:C,2,FALSE)</f>
        <v>North America</v>
      </c>
      <c r="F287" s="24">
        <v>3</v>
      </c>
      <c r="G287" s="24">
        <v>354120</v>
      </c>
      <c r="H287" s="24">
        <v>350</v>
      </c>
      <c r="I287" s="27">
        <v>1362</v>
      </c>
      <c r="J287" s="24">
        <v>476700</v>
      </c>
      <c r="K287" s="24">
        <v>38136</v>
      </c>
      <c r="L287" s="1" t="s">
        <v>124</v>
      </c>
      <c r="M287" s="24">
        <v>438564</v>
      </c>
      <c r="N287" s="24">
        <f t="shared" si="4"/>
        <v>84444</v>
      </c>
      <c r="O287" t="str">
        <f>IF(DataTable[[#This Row],[Profit]]/DataTable[[#This Row],[COGS]]*100&gt;20,"Achived","Not Achived")</f>
        <v>Achived</v>
      </c>
      <c r="P287" s="25">
        <f>DataTable[[#This Row],[Profit]]/DataTable[[#This Row],[COGS]]</f>
        <v>0.23846153846153847</v>
      </c>
      <c r="Q287">
        <f>DataTable[[#This Row],[Manufacturing Price]]*DataTable[[#This Row],[Units Sold]]</f>
        <v>4086</v>
      </c>
      <c r="R287" s="26">
        <f>DataTable[[#This Row],[COGS]]-DataTable[[#This Row],[MC_US]]</f>
        <v>350034</v>
      </c>
      <c r="S287" s="26">
        <f>IF(DataTable[[#This Row],[COGS-MC_US]]&gt;=0,DataTable[[#This Row],[Manufacturing Price]],DataTable[[#This Row],[COGS]]/DataTable[[#This Row],[Units Sold]])</f>
        <v>3</v>
      </c>
    </row>
    <row r="288" spans="1:19" ht="12.75" hidden="1" x14ac:dyDescent="0.2">
      <c r="A288" s="20">
        <v>41883</v>
      </c>
      <c r="B288" t="s">
        <v>395</v>
      </c>
      <c r="C288" t="s">
        <v>388</v>
      </c>
      <c r="D288" t="s">
        <v>352</v>
      </c>
      <c r="E288" t="str">
        <f>VLOOKUP(DataTable[[#This Row],[Country]],Market!B:C,2,FALSE)</f>
        <v>North America</v>
      </c>
      <c r="F288" s="24">
        <v>10</v>
      </c>
      <c r="G288" s="24">
        <v>29930</v>
      </c>
      <c r="H288" s="24">
        <v>20</v>
      </c>
      <c r="I288" s="27">
        <v>2993</v>
      </c>
      <c r="J288" s="24">
        <v>59860</v>
      </c>
      <c r="K288" s="24">
        <v>4788.8</v>
      </c>
      <c r="L288" s="1" t="s">
        <v>124</v>
      </c>
      <c r="M288" s="24">
        <v>55071.199999999997</v>
      </c>
      <c r="N288" s="24">
        <f t="shared" si="4"/>
        <v>25141.199999999997</v>
      </c>
      <c r="O288" t="str">
        <f>IF(DataTable[[#This Row],[Profit]]/DataTable[[#This Row],[COGS]]*100&gt;20,"Achived","Not Achived")</f>
        <v>Achived</v>
      </c>
      <c r="P288" s="25">
        <f>DataTable[[#This Row],[Profit]]/DataTable[[#This Row],[COGS]]</f>
        <v>0.83999999999999986</v>
      </c>
      <c r="Q288">
        <f>DataTable[[#This Row],[Manufacturing Price]]*DataTable[[#This Row],[Units Sold]]</f>
        <v>29930</v>
      </c>
      <c r="R288" s="26">
        <f>DataTable[[#This Row],[COGS]]-DataTable[[#This Row],[MC_US]]</f>
        <v>0</v>
      </c>
      <c r="S288" s="26">
        <f>IF(DataTable[[#This Row],[COGS-MC_US]]&gt;=0,DataTable[[#This Row],[Manufacturing Price]],DataTable[[#This Row],[COGS]]/DataTable[[#This Row],[Units Sold]])</f>
        <v>10</v>
      </c>
    </row>
    <row r="289" spans="1:19" ht="12.75" hidden="1" x14ac:dyDescent="0.2">
      <c r="A289" s="20">
        <v>41609</v>
      </c>
      <c r="B289" t="s">
        <v>395</v>
      </c>
      <c r="C289" t="s">
        <v>388</v>
      </c>
      <c r="D289" t="s">
        <v>352</v>
      </c>
      <c r="E289" t="str">
        <f>VLOOKUP(DataTable[[#This Row],[Country]],Market!B:C,2,FALSE)</f>
        <v>North America</v>
      </c>
      <c r="F289" s="24">
        <v>10</v>
      </c>
      <c r="G289" s="24">
        <v>9730</v>
      </c>
      <c r="H289" s="24">
        <v>7</v>
      </c>
      <c r="I289" s="27">
        <v>1946</v>
      </c>
      <c r="J289" s="24">
        <v>13622</v>
      </c>
      <c r="K289" s="24">
        <v>1089.76</v>
      </c>
      <c r="L289" s="1" t="s">
        <v>124</v>
      </c>
      <c r="M289" s="24">
        <v>12532.24</v>
      </c>
      <c r="N289" s="24">
        <f t="shared" si="4"/>
        <v>2802.24</v>
      </c>
      <c r="O289" t="str">
        <f>IF(DataTable[[#This Row],[Profit]]/DataTable[[#This Row],[COGS]]*100&gt;20,"Achived","Not Achived")</f>
        <v>Achived</v>
      </c>
      <c r="P289" s="25">
        <f>DataTable[[#This Row],[Profit]]/DataTable[[#This Row],[COGS]]</f>
        <v>0.28799999999999998</v>
      </c>
      <c r="Q289">
        <f>DataTable[[#This Row],[Manufacturing Price]]*DataTable[[#This Row],[Units Sold]]</f>
        <v>19460</v>
      </c>
      <c r="R289" s="26">
        <f>DataTable[[#This Row],[COGS]]-DataTable[[#This Row],[MC_US]]</f>
        <v>-9730</v>
      </c>
      <c r="S289" s="26">
        <f>IF(DataTable[[#This Row],[COGS-MC_US]]&gt;=0,DataTable[[#This Row],[Manufacturing Price]],DataTable[[#This Row],[COGS]]/DataTable[[#This Row],[Units Sold]])</f>
        <v>5</v>
      </c>
    </row>
    <row r="290" spans="1:19" ht="12.75" hidden="1" x14ac:dyDescent="0.2">
      <c r="A290" s="20">
        <v>41974</v>
      </c>
      <c r="B290" t="s">
        <v>395</v>
      </c>
      <c r="C290" t="s">
        <v>388</v>
      </c>
      <c r="D290" t="s">
        <v>352</v>
      </c>
      <c r="E290" t="str">
        <f>VLOOKUP(DataTable[[#This Row],[Country]],Market!B:C,2,FALSE)</f>
        <v>North America</v>
      </c>
      <c r="F290" s="24">
        <v>10</v>
      </c>
      <c r="G290" s="24">
        <v>354120</v>
      </c>
      <c r="H290" s="24">
        <v>350</v>
      </c>
      <c r="I290" s="27">
        <v>1362</v>
      </c>
      <c r="J290" s="24">
        <v>476700</v>
      </c>
      <c r="K290" s="24">
        <v>38136</v>
      </c>
      <c r="L290" s="1" t="s">
        <v>124</v>
      </c>
      <c r="M290" s="24">
        <v>438564</v>
      </c>
      <c r="N290" s="24">
        <f t="shared" si="4"/>
        <v>84444</v>
      </c>
      <c r="O290" t="str">
        <f>IF(DataTable[[#This Row],[Profit]]/DataTable[[#This Row],[COGS]]*100&gt;20,"Achived","Not Achived")</f>
        <v>Achived</v>
      </c>
      <c r="P290" s="25">
        <f>DataTable[[#This Row],[Profit]]/DataTable[[#This Row],[COGS]]</f>
        <v>0.23846153846153847</v>
      </c>
      <c r="Q290">
        <f>DataTable[[#This Row],[Manufacturing Price]]*DataTable[[#This Row],[Units Sold]]</f>
        <v>13620</v>
      </c>
      <c r="R290" s="26">
        <f>DataTable[[#This Row],[COGS]]-DataTable[[#This Row],[MC_US]]</f>
        <v>340500</v>
      </c>
      <c r="S290" s="26">
        <f>IF(DataTable[[#This Row],[COGS-MC_US]]&gt;=0,DataTable[[#This Row],[Manufacturing Price]],DataTable[[#This Row],[COGS]]/DataTable[[#This Row],[Units Sold]])</f>
        <v>10</v>
      </c>
    </row>
    <row r="291" spans="1:19" ht="12.75" hidden="1" x14ac:dyDescent="0.2">
      <c r="A291" s="20">
        <v>41640</v>
      </c>
      <c r="B291" t="s">
        <v>395</v>
      </c>
      <c r="C291" t="s">
        <v>388</v>
      </c>
      <c r="D291" t="s">
        <v>352</v>
      </c>
      <c r="E291" t="str">
        <f>VLOOKUP(DataTable[[#This Row],[Country]],Market!B:C,2,FALSE)</f>
        <v>North America</v>
      </c>
      <c r="F291" s="24">
        <v>10</v>
      </c>
      <c r="G291" s="24">
        <v>628420</v>
      </c>
      <c r="H291" s="24">
        <v>350</v>
      </c>
      <c r="I291" s="27">
        <v>2417</v>
      </c>
      <c r="J291" s="24">
        <v>845950</v>
      </c>
      <c r="K291" s="24">
        <v>76135.5</v>
      </c>
      <c r="L291" s="1" t="s">
        <v>124</v>
      </c>
      <c r="M291" s="24">
        <v>769814.5</v>
      </c>
      <c r="N291" s="24">
        <f t="shared" si="4"/>
        <v>141394.5</v>
      </c>
      <c r="O291" t="str">
        <f>IF(DataTable[[#This Row],[Profit]]/DataTable[[#This Row],[COGS]]*100&gt;20,"Achived","Not Achived")</f>
        <v>Achived</v>
      </c>
      <c r="P291" s="25">
        <f>DataTable[[#This Row],[Profit]]/DataTable[[#This Row],[COGS]]</f>
        <v>0.22500000000000001</v>
      </c>
      <c r="Q291">
        <f>DataTable[[#This Row],[Manufacturing Price]]*DataTable[[#This Row],[Units Sold]]</f>
        <v>24170</v>
      </c>
      <c r="R291" s="26">
        <f>DataTable[[#This Row],[COGS]]-DataTable[[#This Row],[MC_US]]</f>
        <v>604250</v>
      </c>
      <c r="S291" s="26">
        <f>IF(DataTable[[#This Row],[COGS-MC_US]]&gt;=0,DataTable[[#This Row],[Manufacturing Price]],DataTable[[#This Row],[COGS]]/DataTable[[#This Row],[Units Sold]])</f>
        <v>10</v>
      </c>
    </row>
    <row r="292" spans="1:19" ht="12.75" hidden="1" x14ac:dyDescent="0.2">
      <c r="A292" s="20">
        <v>41944</v>
      </c>
      <c r="B292" t="s">
        <v>398</v>
      </c>
      <c r="C292" t="s">
        <v>388</v>
      </c>
      <c r="D292" t="s">
        <v>352</v>
      </c>
      <c r="E292" t="str">
        <f>VLOOKUP(DataTable[[#This Row],[Country]],Market!B:C,2,FALSE)</f>
        <v>North America</v>
      </c>
      <c r="F292" s="24">
        <v>260</v>
      </c>
      <c r="G292" s="24">
        <v>16940</v>
      </c>
      <c r="H292" s="24">
        <v>20</v>
      </c>
      <c r="I292" s="27">
        <v>1694</v>
      </c>
      <c r="J292" s="24">
        <v>33880</v>
      </c>
      <c r="K292" s="24">
        <v>3049.2</v>
      </c>
      <c r="L292" s="1" t="s">
        <v>124</v>
      </c>
      <c r="M292" s="24">
        <v>30830.799999999999</v>
      </c>
      <c r="N292" s="24">
        <f t="shared" si="4"/>
        <v>13890.8</v>
      </c>
      <c r="O292" t="str">
        <f>IF(DataTable[[#This Row],[Profit]]/DataTable[[#This Row],[COGS]]*100&gt;20,"Achived","Not Achived")</f>
        <v>Achived</v>
      </c>
      <c r="P292" s="25">
        <f>DataTable[[#This Row],[Profit]]/DataTable[[#This Row],[COGS]]</f>
        <v>0.82</v>
      </c>
      <c r="Q292">
        <f>DataTable[[#This Row],[Manufacturing Price]]*DataTable[[#This Row],[Units Sold]]</f>
        <v>440440</v>
      </c>
      <c r="R292" s="26">
        <f>DataTable[[#This Row],[COGS]]-DataTable[[#This Row],[MC_US]]</f>
        <v>-423500</v>
      </c>
      <c r="S292" s="26">
        <f>IF(DataTable[[#This Row],[COGS-MC_US]]&gt;=0,DataTable[[#This Row],[Manufacturing Price]],DataTable[[#This Row],[COGS]]/DataTable[[#This Row],[Units Sold]])</f>
        <v>10</v>
      </c>
    </row>
    <row r="293" spans="1:19" ht="12.75" hidden="1" x14ac:dyDescent="0.2">
      <c r="A293" s="20">
        <v>41974</v>
      </c>
      <c r="B293" t="s">
        <v>389</v>
      </c>
      <c r="C293" t="s">
        <v>388</v>
      </c>
      <c r="D293" t="s">
        <v>352</v>
      </c>
      <c r="E293" t="str">
        <f>VLOOKUP(DataTable[[#This Row],[Country]],Market!B:C,2,FALSE)</f>
        <v>North America</v>
      </c>
      <c r="F293" s="24">
        <v>3</v>
      </c>
      <c r="G293" s="24">
        <v>2605</v>
      </c>
      <c r="H293" s="24">
        <v>7</v>
      </c>
      <c r="I293" s="27">
        <v>521</v>
      </c>
      <c r="J293" s="24">
        <v>3647</v>
      </c>
      <c r="K293" s="24">
        <v>328.23</v>
      </c>
      <c r="L293" s="1" t="s">
        <v>124</v>
      </c>
      <c r="M293" s="24">
        <v>3318.77</v>
      </c>
      <c r="N293" s="24">
        <f t="shared" si="4"/>
        <v>713.77</v>
      </c>
      <c r="O293" t="str">
        <f>IF(DataTable[[#This Row],[Profit]]/DataTable[[#This Row],[COGS]]*100&gt;20,"Achived","Not Achived")</f>
        <v>Achived</v>
      </c>
      <c r="P293" s="25">
        <f>DataTable[[#This Row],[Profit]]/DataTable[[#This Row],[COGS]]</f>
        <v>0.27399999999999997</v>
      </c>
      <c r="Q293">
        <f>DataTable[[#This Row],[Manufacturing Price]]*DataTable[[#This Row],[Units Sold]]</f>
        <v>1563</v>
      </c>
      <c r="R293" s="26">
        <f>DataTable[[#This Row],[COGS]]-DataTable[[#This Row],[MC_US]]</f>
        <v>1042</v>
      </c>
      <c r="S293" s="26">
        <f>IF(DataTable[[#This Row],[COGS-MC_US]]&gt;=0,DataTable[[#This Row],[Manufacturing Price]],DataTable[[#This Row],[COGS]]/DataTable[[#This Row],[Units Sold]])</f>
        <v>3</v>
      </c>
    </row>
    <row r="294" spans="1:19" ht="12.75" hidden="1" x14ac:dyDescent="0.2">
      <c r="A294" s="20">
        <v>41791</v>
      </c>
      <c r="B294" t="s">
        <v>395</v>
      </c>
      <c r="C294" t="s">
        <v>388</v>
      </c>
      <c r="D294" t="s">
        <v>352</v>
      </c>
      <c r="E294" t="str">
        <f>VLOOKUP(DataTable[[#This Row],[Country]],Market!B:C,2,FALSE)</f>
        <v>North America</v>
      </c>
      <c r="F294" s="24">
        <v>10</v>
      </c>
      <c r="G294" s="24">
        <v>10380</v>
      </c>
      <c r="H294" s="24">
        <v>20</v>
      </c>
      <c r="I294" s="27">
        <v>1038</v>
      </c>
      <c r="J294" s="24">
        <v>20760</v>
      </c>
      <c r="K294" s="24">
        <v>1868.4</v>
      </c>
      <c r="L294" s="1" t="s">
        <v>124</v>
      </c>
      <c r="M294" s="24">
        <v>18891.599999999999</v>
      </c>
      <c r="N294" s="24">
        <f t="shared" si="4"/>
        <v>8511.5999999999985</v>
      </c>
      <c r="O294" t="str">
        <f>IF(DataTable[[#This Row],[Profit]]/DataTable[[#This Row],[COGS]]*100&gt;20,"Achived","Not Achived")</f>
        <v>Achived</v>
      </c>
      <c r="P294" s="25">
        <f>DataTable[[#This Row],[Profit]]/DataTable[[#This Row],[COGS]]</f>
        <v>0.81999999999999984</v>
      </c>
      <c r="Q294">
        <f>DataTable[[#This Row],[Manufacturing Price]]*DataTable[[#This Row],[Units Sold]]</f>
        <v>10380</v>
      </c>
      <c r="R294" s="26">
        <f>DataTable[[#This Row],[COGS]]-DataTable[[#This Row],[MC_US]]</f>
        <v>0</v>
      </c>
      <c r="S294" s="26">
        <f>IF(DataTable[[#This Row],[COGS-MC_US]]&gt;=0,DataTable[[#This Row],[Manufacturing Price]],DataTable[[#This Row],[COGS]]/DataTable[[#This Row],[Units Sold]])</f>
        <v>10</v>
      </c>
    </row>
    <row r="295" spans="1:19" ht="12.75" hidden="1" x14ac:dyDescent="0.2">
      <c r="A295" s="20">
        <v>41974</v>
      </c>
      <c r="B295" t="s">
        <v>397</v>
      </c>
      <c r="C295" t="s">
        <v>388</v>
      </c>
      <c r="D295" t="s">
        <v>352</v>
      </c>
      <c r="E295" t="str">
        <f>VLOOKUP(DataTable[[#This Row],[Country]],Market!B:C,2,FALSE)</f>
        <v>North America</v>
      </c>
      <c r="F295" s="24">
        <v>250</v>
      </c>
      <c r="G295" s="24">
        <v>2605</v>
      </c>
      <c r="H295" s="24">
        <v>7</v>
      </c>
      <c r="I295" s="27">
        <v>521</v>
      </c>
      <c r="J295" s="24">
        <v>3647</v>
      </c>
      <c r="K295" s="24">
        <v>328.23</v>
      </c>
      <c r="L295" s="1" t="s">
        <v>124</v>
      </c>
      <c r="M295" s="24">
        <v>3318.77</v>
      </c>
      <c r="N295" s="24">
        <f t="shared" si="4"/>
        <v>713.77</v>
      </c>
      <c r="O295" t="str">
        <f>IF(DataTable[[#This Row],[Profit]]/DataTable[[#This Row],[COGS]]*100&gt;20,"Achived","Not Achived")</f>
        <v>Achived</v>
      </c>
      <c r="P295" s="25">
        <f>DataTable[[#This Row],[Profit]]/DataTable[[#This Row],[COGS]]</f>
        <v>0.27399999999999997</v>
      </c>
      <c r="Q295">
        <f>DataTable[[#This Row],[Manufacturing Price]]*DataTable[[#This Row],[Units Sold]]</f>
        <v>130250</v>
      </c>
      <c r="R295" s="26">
        <f>DataTable[[#This Row],[COGS]]-DataTable[[#This Row],[MC_US]]</f>
        <v>-127645</v>
      </c>
      <c r="S295" s="26">
        <f>IF(DataTable[[#This Row],[COGS-MC_US]]&gt;=0,DataTable[[#This Row],[Manufacturing Price]],DataTable[[#This Row],[COGS]]/DataTable[[#This Row],[Units Sold]])</f>
        <v>5</v>
      </c>
    </row>
    <row r="296" spans="1:19" ht="12.75" hidden="1" x14ac:dyDescent="0.2">
      <c r="A296" s="20">
        <v>41791</v>
      </c>
      <c r="B296" t="s">
        <v>398</v>
      </c>
      <c r="C296" t="s">
        <v>388</v>
      </c>
      <c r="D296" t="s">
        <v>352</v>
      </c>
      <c r="E296" t="str">
        <f>VLOOKUP(DataTable[[#This Row],[Country]],Market!B:C,2,FALSE)</f>
        <v>North America</v>
      </c>
      <c r="F296" s="24">
        <v>260</v>
      </c>
      <c r="G296" s="24">
        <v>10380</v>
      </c>
      <c r="H296" s="24">
        <v>20</v>
      </c>
      <c r="I296" s="27">
        <v>1038</v>
      </c>
      <c r="J296" s="24">
        <v>20760</v>
      </c>
      <c r="K296" s="24">
        <v>1868.4</v>
      </c>
      <c r="L296" s="1" t="s">
        <v>124</v>
      </c>
      <c r="M296" s="24">
        <v>18891.599999999999</v>
      </c>
      <c r="N296" s="24">
        <f t="shared" si="4"/>
        <v>8511.5999999999985</v>
      </c>
      <c r="O296" t="str">
        <f>IF(DataTable[[#This Row],[Profit]]/DataTable[[#This Row],[COGS]]*100&gt;20,"Achived","Not Achived")</f>
        <v>Achived</v>
      </c>
      <c r="P296" s="25">
        <f>DataTable[[#This Row],[Profit]]/DataTable[[#This Row],[COGS]]</f>
        <v>0.81999999999999984</v>
      </c>
      <c r="Q296">
        <f>DataTable[[#This Row],[Manufacturing Price]]*DataTable[[#This Row],[Units Sold]]</f>
        <v>269880</v>
      </c>
      <c r="R296" s="26">
        <f>DataTable[[#This Row],[COGS]]-DataTable[[#This Row],[MC_US]]</f>
        <v>-259500</v>
      </c>
      <c r="S296" s="26">
        <f>IF(DataTable[[#This Row],[COGS-MC_US]]&gt;=0,DataTable[[#This Row],[Manufacturing Price]],DataTable[[#This Row],[COGS]]/DataTable[[#This Row],[Units Sold]])</f>
        <v>10</v>
      </c>
    </row>
    <row r="297" spans="1:19" ht="12.75" x14ac:dyDescent="0.2">
      <c r="A297" s="20">
        <v>41760</v>
      </c>
      <c r="B297" t="s">
        <v>398</v>
      </c>
      <c r="C297" t="s">
        <v>388</v>
      </c>
      <c r="D297" t="s">
        <v>352</v>
      </c>
      <c r="E297" t="str">
        <f>VLOOKUP(DataTable[[#This Row],[Country]],Market!B:C,2,FALSE)</f>
        <v>North America</v>
      </c>
      <c r="F297" s="24">
        <v>260</v>
      </c>
      <c r="G297" s="24">
        <v>20390</v>
      </c>
      <c r="H297" s="24">
        <v>20</v>
      </c>
      <c r="I297" s="27">
        <v>2039</v>
      </c>
      <c r="J297" s="24">
        <v>40780</v>
      </c>
      <c r="K297" s="24">
        <v>4078</v>
      </c>
      <c r="L297" s="1" t="s">
        <v>158</v>
      </c>
      <c r="M297" s="24">
        <v>36702</v>
      </c>
      <c r="N297" s="24">
        <f t="shared" si="4"/>
        <v>16312</v>
      </c>
      <c r="O297" t="str">
        <f>IF(DataTable[[#This Row],[Profit]]/DataTable[[#This Row],[COGS]]*100&gt;20,"Achived","Not Achived")</f>
        <v>Achived</v>
      </c>
      <c r="P297" s="25">
        <f>DataTable[[#This Row],[Profit]]/DataTable[[#This Row],[COGS]]</f>
        <v>0.8</v>
      </c>
      <c r="Q297">
        <f>DataTable[[#This Row],[Manufacturing Price]]*DataTable[[#This Row],[Units Sold]]</f>
        <v>530140</v>
      </c>
      <c r="R297" s="26">
        <f>DataTable[[#This Row],[COGS]]-DataTable[[#This Row],[MC_US]]</f>
        <v>-509750</v>
      </c>
      <c r="S297" s="26">
        <f>IF(DataTable[[#This Row],[COGS-MC_US]]&gt;=0,DataTable[[#This Row],[Manufacturing Price]],DataTable[[#This Row],[COGS]]/DataTable[[#This Row],[Units Sold]])</f>
        <v>10</v>
      </c>
    </row>
    <row r="298" spans="1:19" ht="12.75" x14ac:dyDescent="0.2">
      <c r="A298" s="20">
        <v>41579</v>
      </c>
      <c r="B298" t="s">
        <v>389</v>
      </c>
      <c r="C298" t="s">
        <v>388</v>
      </c>
      <c r="D298" t="s">
        <v>352</v>
      </c>
      <c r="E298" t="str">
        <f>VLOOKUP(DataTable[[#This Row],[Country]],Market!B:C,2,FALSE)</f>
        <v>North America</v>
      </c>
      <c r="F298" s="24">
        <v>3</v>
      </c>
      <c r="G298" s="24">
        <v>13530</v>
      </c>
      <c r="H298" s="24">
        <v>7</v>
      </c>
      <c r="I298" s="27">
        <v>2706</v>
      </c>
      <c r="J298" s="24">
        <v>18942</v>
      </c>
      <c r="K298" s="24">
        <v>2083.62</v>
      </c>
      <c r="L298" s="1" t="s">
        <v>158</v>
      </c>
      <c r="M298" s="24">
        <v>16858.38</v>
      </c>
      <c r="N298" s="24">
        <f t="shared" si="4"/>
        <v>3328.380000000001</v>
      </c>
      <c r="O298" t="str">
        <f>IF(DataTable[[#This Row],[Profit]]/DataTable[[#This Row],[COGS]]*100&gt;20,"Achived","Not Achived")</f>
        <v>Achived</v>
      </c>
      <c r="P298" s="25">
        <f>DataTable[[#This Row],[Profit]]/DataTable[[#This Row],[COGS]]</f>
        <v>0.24600000000000008</v>
      </c>
      <c r="Q298">
        <f>DataTable[[#This Row],[Manufacturing Price]]*DataTable[[#This Row],[Units Sold]]</f>
        <v>8118</v>
      </c>
      <c r="R298" s="26">
        <f>DataTable[[#This Row],[COGS]]-DataTable[[#This Row],[MC_US]]</f>
        <v>5412</v>
      </c>
      <c r="S298" s="26">
        <f>IF(DataTable[[#This Row],[COGS-MC_US]]&gt;=0,DataTable[[#This Row],[Manufacturing Price]],DataTable[[#This Row],[COGS]]/DataTable[[#This Row],[Units Sold]])</f>
        <v>3</v>
      </c>
    </row>
    <row r="299" spans="1:19" ht="12.75" x14ac:dyDescent="0.2">
      <c r="A299" s="20">
        <v>41699</v>
      </c>
      <c r="B299" t="s">
        <v>395</v>
      </c>
      <c r="C299" t="s">
        <v>388</v>
      </c>
      <c r="D299" t="s">
        <v>352</v>
      </c>
      <c r="E299" t="str">
        <f>VLOOKUP(DataTable[[#This Row],[Country]],Market!B:C,2,FALSE)</f>
        <v>North America</v>
      </c>
      <c r="F299" s="24">
        <v>10</v>
      </c>
      <c r="G299" s="24">
        <v>11220</v>
      </c>
      <c r="H299" s="24">
        <v>20</v>
      </c>
      <c r="I299" s="27">
        <v>1122</v>
      </c>
      <c r="J299" s="24">
        <v>22440</v>
      </c>
      <c r="K299" s="24">
        <v>2468.4</v>
      </c>
      <c r="L299" s="1" t="s">
        <v>158</v>
      </c>
      <c r="M299" s="24">
        <v>19971.599999999999</v>
      </c>
      <c r="N299" s="24">
        <f t="shared" si="4"/>
        <v>8751.5999999999985</v>
      </c>
      <c r="O299" t="str">
        <f>IF(DataTable[[#This Row],[Profit]]/DataTable[[#This Row],[COGS]]*100&gt;20,"Achived","Not Achived")</f>
        <v>Achived</v>
      </c>
      <c r="P299" s="25">
        <f>DataTable[[#This Row],[Profit]]/DataTable[[#This Row],[COGS]]</f>
        <v>0.77999999999999992</v>
      </c>
      <c r="Q299">
        <f>DataTable[[#This Row],[Manufacturing Price]]*DataTable[[#This Row],[Units Sold]]</f>
        <v>11220</v>
      </c>
      <c r="R299" s="26">
        <f>DataTable[[#This Row],[COGS]]-DataTable[[#This Row],[MC_US]]</f>
        <v>0</v>
      </c>
      <c r="S299" s="26">
        <f>IF(DataTable[[#This Row],[COGS-MC_US]]&gt;=0,DataTable[[#This Row],[Manufacturing Price]],DataTable[[#This Row],[COGS]]/DataTable[[#This Row],[Units Sold]])</f>
        <v>10</v>
      </c>
    </row>
    <row r="300" spans="1:19" ht="12.75" x14ac:dyDescent="0.2">
      <c r="A300" s="20">
        <v>41548</v>
      </c>
      <c r="B300" t="s">
        <v>396</v>
      </c>
      <c r="C300" t="s">
        <v>388</v>
      </c>
      <c r="D300" t="s">
        <v>352</v>
      </c>
      <c r="E300" t="str">
        <f>VLOOKUP(DataTable[[#This Row],[Country]],Market!B:C,2,FALSE)</f>
        <v>North America</v>
      </c>
      <c r="F300" s="24">
        <v>120</v>
      </c>
      <c r="G300" s="24">
        <v>89440</v>
      </c>
      <c r="H300" s="24">
        <v>350</v>
      </c>
      <c r="I300" s="27">
        <v>344</v>
      </c>
      <c r="J300" s="24">
        <v>120400</v>
      </c>
      <c r="K300" s="24">
        <v>13244</v>
      </c>
      <c r="L300" s="1" t="s">
        <v>158</v>
      </c>
      <c r="M300" s="24">
        <v>107156</v>
      </c>
      <c r="N300" s="24">
        <f t="shared" si="4"/>
        <v>17716</v>
      </c>
      <c r="O300" t="str">
        <f>IF(DataTable[[#This Row],[Profit]]/DataTable[[#This Row],[COGS]]*100&gt;20,"Achived","Not Achived")</f>
        <v>Not Achived</v>
      </c>
      <c r="P300" s="25">
        <f>DataTable[[#This Row],[Profit]]/DataTable[[#This Row],[COGS]]</f>
        <v>0.19807692307692307</v>
      </c>
      <c r="Q300">
        <f>DataTable[[#This Row],[Manufacturing Price]]*DataTable[[#This Row],[Units Sold]]</f>
        <v>41280</v>
      </c>
      <c r="R300" s="26">
        <f>DataTable[[#This Row],[COGS]]-DataTable[[#This Row],[MC_US]]</f>
        <v>48160</v>
      </c>
      <c r="S300" s="26">
        <f>IF(DataTable[[#This Row],[COGS-MC_US]]&gt;=0,DataTable[[#This Row],[Manufacturing Price]],DataTable[[#This Row],[COGS]]/DataTable[[#This Row],[Units Sold]])</f>
        <v>120</v>
      </c>
    </row>
    <row r="301" spans="1:19" ht="12.75" x14ac:dyDescent="0.2">
      <c r="A301" s="20">
        <v>41640</v>
      </c>
      <c r="B301" t="s">
        <v>398</v>
      </c>
      <c r="C301" t="s">
        <v>388</v>
      </c>
      <c r="D301" t="s">
        <v>352</v>
      </c>
      <c r="E301" t="str">
        <f>VLOOKUP(DataTable[[#This Row],[Country]],Market!B:C,2,FALSE)</f>
        <v>North America</v>
      </c>
      <c r="F301" s="24">
        <v>260</v>
      </c>
      <c r="G301" s="24">
        <v>26290</v>
      </c>
      <c r="H301" s="24">
        <v>20</v>
      </c>
      <c r="I301" s="27">
        <v>2629</v>
      </c>
      <c r="J301" s="24">
        <v>52580</v>
      </c>
      <c r="K301" s="24">
        <v>5783.8</v>
      </c>
      <c r="L301" s="1" t="s">
        <v>158</v>
      </c>
      <c r="M301" s="24">
        <v>46796.2</v>
      </c>
      <c r="N301" s="24">
        <f t="shared" si="4"/>
        <v>20506.199999999997</v>
      </c>
      <c r="O301" t="str">
        <f>IF(DataTable[[#This Row],[Profit]]/DataTable[[#This Row],[COGS]]*100&gt;20,"Achived","Not Achived")</f>
        <v>Achived</v>
      </c>
      <c r="P301" s="25">
        <f>DataTable[[#This Row],[Profit]]/DataTable[[#This Row],[COGS]]</f>
        <v>0.77999999999999992</v>
      </c>
      <c r="Q301">
        <f>DataTable[[#This Row],[Manufacturing Price]]*DataTable[[#This Row],[Units Sold]]</f>
        <v>683540</v>
      </c>
      <c r="R301" s="26">
        <f>DataTable[[#This Row],[COGS]]-DataTable[[#This Row],[MC_US]]</f>
        <v>-657250</v>
      </c>
      <c r="S301" s="26">
        <f>IF(DataTable[[#This Row],[COGS-MC_US]]&gt;=0,DataTable[[#This Row],[Manufacturing Price]],DataTable[[#This Row],[COGS]]/DataTable[[#This Row],[Units Sold]])</f>
        <v>10</v>
      </c>
    </row>
    <row r="302" spans="1:19" ht="12.75" x14ac:dyDescent="0.2">
      <c r="A302" s="20">
        <v>41548</v>
      </c>
      <c r="B302" t="s">
        <v>398</v>
      </c>
      <c r="C302" t="s">
        <v>388</v>
      </c>
      <c r="D302" t="s">
        <v>352</v>
      </c>
      <c r="E302" t="str">
        <f>VLOOKUP(DataTable[[#This Row],[Country]],Market!B:C,2,FALSE)</f>
        <v>North America</v>
      </c>
      <c r="F302" s="24">
        <v>260</v>
      </c>
      <c r="G302" s="24">
        <v>89440</v>
      </c>
      <c r="H302" s="24">
        <v>350</v>
      </c>
      <c r="I302" s="27">
        <v>344</v>
      </c>
      <c r="J302" s="24">
        <v>120400</v>
      </c>
      <c r="K302" s="24">
        <v>13244</v>
      </c>
      <c r="L302" s="1" t="s">
        <v>158</v>
      </c>
      <c r="M302" s="24">
        <v>107156</v>
      </c>
      <c r="N302" s="24">
        <f t="shared" si="4"/>
        <v>17716</v>
      </c>
      <c r="O302" t="str">
        <f>IF(DataTable[[#This Row],[Profit]]/DataTable[[#This Row],[COGS]]*100&gt;20,"Achived","Not Achived")</f>
        <v>Not Achived</v>
      </c>
      <c r="P302" s="25">
        <f>DataTable[[#This Row],[Profit]]/DataTable[[#This Row],[COGS]]</f>
        <v>0.19807692307692307</v>
      </c>
      <c r="Q302">
        <f>DataTable[[#This Row],[Manufacturing Price]]*DataTable[[#This Row],[Units Sold]]</f>
        <v>89440</v>
      </c>
      <c r="R302" s="26">
        <f>DataTable[[#This Row],[COGS]]-DataTable[[#This Row],[MC_US]]</f>
        <v>0</v>
      </c>
      <c r="S302" s="26">
        <f>IF(DataTable[[#This Row],[COGS-MC_US]]&gt;=0,DataTable[[#This Row],[Manufacturing Price]],DataTable[[#This Row],[COGS]]/DataTable[[#This Row],[Units Sold]])</f>
        <v>260</v>
      </c>
    </row>
    <row r="303" spans="1:19" ht="12.75" x14ac:dyDescent="0.2">
      <c r="A303" s="20">
        <v>41791</v>
      </c>
      <c r="B303" t="s">
        <v>389</v>
      </c>
      <c r="C303" t="s">
        <v>388</v>
      </c>
      <c r="D303" t="s">
        <v>352</v>
      </c>
      <c r="E303" t="str">
        <f>VLOOKUP(DataTable[[#This Row],[Country]],Market!B:C,2,FALSE)</f>
        <v>North America</v>
      </c>
      <c r="F303" s="24">
        <v>3</v>
      </c>
      <c r="G303" s="24">
        <v>230360</v>
      </c>
      <c r="H303" s="24">
        <v>350</v>
      </c>
      <c r="I303" s="27">
        <v>886</v>
      </c>
      <c r="J303" s="24">
        <v>310100</v>
      </c>
      <c r="K303" s="24">
        <v>37212</v>
      </c>
      <c r="L303" s="1" t="s">
        <v>158</v>
      </c>
      <c r="M303" s="24">
        <v>272888</v>
      </c>
      <c r="N303" s="24">
        <f t="shared" si="4"/>
        <v>42528</v>
      </c>
      <c r="O303" t="str">
        <f>IF(DataTable[[#This Row],[Profit]]/DataTable[[#This Row],[COGS]]*100&gt;20,"Achived","Not Achived")</f>
        <v>Not Achived</v>
      </c>
      <c r="P303" s="25">
        <f>DataTable[[#This Row],[Profit]]/DataTable[[#This Row],[COGS]]</f>
        <v>0.18461538461538463</v>
      </c>
      <c r="Q303">
        <f>DataTable[[#This Row],[Manufacturing Price]]*DataTable[[#This Row],[Units Sold]]</f>
        <v>2658</v>
      </c>
      <c r="R303" s="26">
        <f>DataTable[[#This Row],[COGS]]-DataTable[[#This Row],[MC_US]]</f>
        <v>227702</v>
      </c>
      <c r="S303" s="26">
        <f>IF(DataTable[[#This Row],[COGS-MC_US]]&gt;=0,DataTable[[#This Row],[Manufacturing Price]],DataTable[[#This Row],[COGS]]/DataTable[[#This Row],[Units Sold]])</f>
        <v>3</v>
      </c>
    </row>
    <row r="304" spans="1:19" ht="12.75" x14ac:dyDescent="0.2">
      <c r="A304" s="20">
        <v>41883</v>
      </c>
      <c r="B304" t="s">
        <v>391</v>
      </c>
      <c r="C304" t="s">
        <v>388</v>
      </c>
      <c r="D304" t="s">
        <v>352</v>
      </c>
      <c r="E304" t="str">
        <f>VLOOKUP(DataTable[[#This Row],[Country]],Market!B:C,2,FALSE)</f>
        <v>North America</v>
      </c>
      <c r="F304" s="24">
        <v>5</v>
      </c>
      <c r="G304" s="24">
        <v>12100</v>
      </c>
      <c r="H304" s="24">
        <v>7</v>
      </c>
      <c r="I304" s="27">
        <v>2420</v>
      </c>
      <c r="J304" s="24">
        <v>16940</v>
      </c>
      <c r="K304" s="24">
        <v>2032.8</v>
      </c>
      <c r="L304" s="1" t="s">
        <v>158</v>
      </c>
      <c r="M304" s="24">
        <v>14907.2</v>
      </c>
      <c r="N304" s="24">
        <f t="shared" si="4"/>
        <v>2807.2000000000007</v>
      </c>
      <c r="O304" t="str">
        <f>IF(DataTable[[#This Row],[Profit]]/DataTable[[#This Row],[COGS]]*100&gt;20,"Achived","Not Achived")</f>
        <v>Achived</v>
      </c>
      <c r="P304" s="25">
        <f>DataTable[[#This Row],[Profit]]/DataTable[[#This Row],[COGS]]</f>
        <v>0.23200000000000007</v>
      </c>
      <c r="Q304">
        <f>DataTable[[#This Row],[Manufacturing Price]]*DataTable[[#This Row],[Units Sold]]</f>
        <v>12100</v>
      </c>
      <c r="R304" s="26">
        <f>DataTable[[#This Row],[COGS]]-DataTable[[#This Row],[MC_US]]</f>
        <v>0</v>
      </c>
      <c r="S304" s="26">
        <f>IF(DataTable[[#This Row],[COGS-MC_US]]&gt;=0,DataTable[[#This Row],[Manufacturing Price]],DataTable[[#This Row],[COGS]]/DataTable[[#This Row],[Units Sold]])</f>
        <v>5</v>
      </c>
    </row>
    <row r="305" spans="1:19" ht="12.75" x14ac:dyDescent="0.2">
      <c r="A305" s="20">
        <v>41548</v>
      </c>
      <c r="B305" t="s">
        <v>391</v>
      </c>
      <c r="C305" t="s">
        <v>388</v>
      </c>
      <c r="D305" t="s">
        <v>352</v>
      </c>
      <c r="E305" t="str">
        <f>VLOOKUP(DataTable[[#This Row],[Country]],Market!B:C,2,FALSE)</f>
        <v>North America</v>
      </c>
      <c r="F305" s="24">
        <v>5</v>
      </c>
      <c r="G305" s="24">
        <v>17150</v>
      </c>
      <c r="H305" s="24">
        <v>20</v>
      </c>
      <c r="I305" s="27">
        <v>1715</v>
      </c>
      <c r="J305" s="24">
        <v>34300</v>
      </c>
      <c r="K305" s="24">
        <v>4116</v>
      </c>
      <c r="L305" s="1" t="s">
        <v>158</v>
      </c>
      <c r="M305" s="24">
        <v>30184</v>
      </c>
      <c r="N305" s="24">
        <f t="shared" si="4"/>
        <v>13034</v>
      </c>
      <c r="O305" t="str">
        <f>IF(DataTable[[#This Row],[Profit]]/DataTable[[#This Row],[COGS]]*100&gt;20,"Achived","Not Achived")</f>
        <v>Achived</v>
      </c>
      <c r="P305" s="25">
        <f>DataTable[[#This Row],[Profit]]/DataTable[[#This Row],[COGS]]</f>
        <v>0.76</v>
      </c>
      <c r="Q305">
        <f>DataTable[[#This Row],[Manufacturing Price]]*DataTable[[#This Row],[Units Sold]]</f>
        <v>8575</v>
      </c>
      <c r="R305" s="26">
        <f>DataTable[[#This Row],[COGS]]-DataTable[[#This Row],[MC_US]]</f>
        <v>8575</v>
      </c>
      <c r="S305" s="26">
        <f>IF(DataTable[[#This Row],[COGS-MC_US]]&gt;=0,DataTable[[#This Row],[Manufacturing Price]],DataTable[[#This Row],[COGS]]/DataTable[[#This Row],[Units Sold]])</f>
        <v>5</v>
      </c>
    </row>
    <row r="306" spans="1:19" ht="12.75" x14ac:dyDescent="0.2">
      <c r="A306" s="20">
        <v>41791</v>
      </c>
      <c r="B306" t="s">
        <v>395</v>
      </c>
      <c r="C306" t="s">
        <v>388</v>
      </c>
      <c r="D306" t="s">
        <v>352</v>
      </c>
      <c r="E306" t="str">
        <f>VLOOKUP(DataTable[[#This Row],[Country]],Market!B:C,2,FALSE)</f>
        <v>North America</v>
      </c>
      <c r="F306" s="24">
        <v>10</v>
      </c>
      <c r="G306" s="24">
        <v>230360</v>
      </c>
      <c r="H306" s="24">
        <v>350</v>
      </c>
      <c r="I306" s="27">
        <v>886</v>
      </c>
      <c r="J306" s="24">
        <v>310100</v>
      </c>
      <c r="K306" s="24">
        <v>37212</v>
      </c>
      <c r="L306" s="1" t="s">
        <v>158</v>
      </c>
      <c r="M306" s="24">
        <v>272888</v>
      </c>
      <c r="N306" s="24">
        <f t="shared" si="4"/>
        <v>42528</v>
      </c>
      <c r="O306" t="str">
        <f>IF(DataTable[[#This Row],[Profit]]/DataTable[[#This Row],[COGS]]*100&gt;20,"Achived","Not Achived")</f>
        <v>Not Achived</v>
      </c>
      <c r="P306" s="25">
        <f>DataTable[[#This Row],[Profit]]/DataTable[[#This Row],[COGS]]</f>
        <v>0.18461538461538463</v>
      </c>
      <c r="Q306">
        <f>DataTable[[#This Row],[Manufacturing Price]]*DataTable[[#This Row],[Units Sold]]</f>
        <v>8860</v>
      </c>
      <c r="R306" s="26">
        <f>DataTable[[#This Row],[COGS]]-DataTable[[#This Row],[MC_US]]</f>
        <v>221500</v>
      </c>
      <c r="S306" s="26">
        <f>IF(DataTable[[#This Row],[COGS-MC_US]]&gt;=0,DataTable[[#This Row],[Manufacturing Price]],DataTable[[#This Row],[COGS]]/DataTable[[#This Row],[Units Sold]])</f>
        <v>10</v>
      </c>
    </row>
    <row r="307" spans="1:19" ht="12.75" x14ac:dyDescent="0.2">
      <c r="A307" s="20">
        <v>41913</v>
      </c>
      <c r="B307" t="s">
        <v>395</v>
      </c>
      <c r="C307" t="s">
        <v>388</v>
      </c>
      <c r="D307" t="s">
        <v>352</v>
      </c>
      <c r="E307" t="str">
        <f>VLOOKUP(DataTable[[#This Row],[Country]],Market!B:C,2,FALSE)</f>
        <v>North America</v>
      </c>
      <c r="F307" s="24">
        <v>10</v>
      </c>
      <c r="G307" s="24">
        <v>9050</v>
      </c>
      <c r="H307" s="24">
        <v>20</v>
      </c>
      <c r="I307" s="27">
        <v>905</v>
      </c>
      <c r="J307" s="24">
        <v>18100</v>
      </c>
      <c r="K307" s="24">
        <v>2172</v>
      </c>
      <c r="L307" s="1" t="s">
        <v>158</v>
      </c>
      <c r="M307" s="24">
        <v>15928</v>
      </c>
      <c r="N307" s="24">
        <f t="shared" si="4"/>
        <v>6878</v>
      </c>
      <c r="O307" t="str">
        <f>IF(DataTable[[#This Row],[Profit]]/DataTable[[#This Row],[COGS]]*100&gt;20,"Achived","Not Achived")</f>
        <v>Achived</v>
      </c>
      <c r="P307" s="25">
        <f>DataTable[[#This Row],[Profit]]/DataTable[[#This Row],[COGS]]</f>
        <v>0.76</v>
      </c>
      <c r="Q307">
        <f>DataTable[[#This Row],[Manufacturing Price]]*DataTable[[#This Row],[Units Sold]]</f>
        <v>9050</v>
      </c>
      <c r="R307" s="26">
        <f>DataTable[[#This Row],[COGS]]-DataTable[[#This Row],[MC_US]]</f>
        <v>0</v>
      </c>
      <c r="S307" s="26">
        <f>IF(DataTable[[#This Row],[COGS-MC_US]]&gt;=0,DataTable[[#This Row],[Manufacturing Price]],DataTable[[#This Row],[COGS]]/DataTable[[#This Row],[Units Sold]])</f>
        <v>10</v>
      </c>
    </row>
    <row r="308" spans="1:19" ht="12.75" x14ac:dyDescent="0.2">
      <c r="A308" s="20">
        <v>41548</v>
      </c>
      <c r="B308" t="s">
        <v>395</v>
      </c>
      <c r="C308" t="s">
        <v>388</v>
      </c>
      <c r="D308" t="s">
        <v>352</v>
      </c>
      <c r="E308" t="str">
        <f>VLOOKUP(DataTable[[#This Row],[Country]],Market!B:C,2,FALSE)</f>
        <v>North America</v>
      </c>
      <c r="F308" s="24">
        <v>10</v>
      </c>
      <c r="G308" s="24">
        <v>17150</v>
      </c>
      <c r="H308" s="24">
        <v>20</v>
      </c>
      <c r="I308" s="27">
        <v>1715</v>
      </c>
      <c r="J308" s="24">
        <v>34300</v>
      </c>
      <c r="K308" s="24">
        <v>4116</v>
      </c>
      <c r="L308" s="1" t="s">
        <v>158</v>
      </c>
      <c r="M308" s="24">
        <v>30184</v>
      </c>
      <c r="N308" s="24">
        <f t="shared" si="4"/>
        <v>13034</v>
      </c>
      <c r="O308" t="str">
        <f>IF(DataTable[[#This Row],[Profit]]/DataTable[[#This Row],[COGS]]*100&gt;20,"Achived","Not Achived")</f>
        <v>Achived</v>
      </c>
      <c r="P308" s="25">
        <f>DataTable[[#This Row],[Profit]]/DataTable[[#This Row],[COGS]]</f>
        <v>0.76</v>
      </c>
      <c r="Q308">
        <f>DataTable[[#This Row],[Manufacturing Price]]*DataTable[[#This Row],[Units Sold]]</f>
        <v>17150</v>
      </c>
      <c r="R308" s="26">
        <f>DataTable[[#This Row],[COGS]]-DataTable[[#This Row],[MC_US]]</f>
        <v>0</v>
      </c>
      <c r="S308" s="26">
        <f>IF(DataTable[[#This Row],[COGS-MC_US]]&gt;=0,DataTable[[#This Row],[Manufacturing Price]],DataTable[[#This Row],[COGS]]/DataTable[[#This Row],[Units Sold]])</f>
        <v>10</v>
      </c>
    </row>
    <row r="309" spans="1:19" ht="12.75" x14ac:dyDescent="0.2">
      <c r="A309" s="20">
        <v>41944</v>
      </c>
      <c r="B309" t="s">
        <v>395</v>
      </c>
      <c r="C309" t="s">
        <v>388</v>
      </c>
      <c r="D309" t="s">
        <v>352</v>
      </c>
      <c r="E309" t="str">
        <f>VLOOKUP(DataTable[[#This Row],[Country]],Market!B:C,2,FALSE)</f>
        <v>North America</v>
      </c>
      <c r="F309" s="24">
        <v>10</v>
      </c>
      <c r="G309" s="24">
        <v>311220</v>
      </c>
      <c r="H309" s="24">
        <v>350</v>
      </c>
      <c r="I309" s="27">
        <v>1197</v>
      </c>
      <c r="J309" s="24">
        <v>418950</v>
      </c>
      <c r="K309" s="24">
        <v>50274</v>
      </c>
      <c r="L309" s="1" t="s">
        <v>158</v>
      </c>
      <c r="M309" s="24">
        <v>368676</v>
      </c>
      <c r="N309" s="24">
        <f t="shared" si="4"/>
        <v>57456</v>
      </c>
      <c r="O309" t="str">
        <f>IF(DataTable[[#This Row],[Profit]]/DataTable[[#This Row],[COGS]]*100&gt;20,"Achived","Not Achived")</f>
        <v>Not Achived</v>
      </c>
      <c r="P309" s="25">
        <f>DataTable[[#This Row],[Profit]]/DataTable[[#This Row],[COGS]]</f>
        <v>0.18461538461538463</v>
      </c>
      <c r="Q309">
        <f>DataTable[[#This Row],[Manufacturing Price]]*DataTable[[#This Row],[Units Sold]]</f>
        <v>11970</v>
      </c>
      <c r="R309" s="26">
        <f>DataTable[[#This Row],[COGS]]-DataTable[[#This Row],[MC_US]]</f>
        <v>299250</v>
      </c>
      <c r="S309" s="26">
        <f>IF(DataTable[[#This Row],[COGS-MC_US]]&gt;=0,DataTable[[#This Row],[Manufacturing Price]],DataTable[[#This Row],[COGS]]/DataTable[[#This Row],[Units Sold]])</f>
        <v>10</v>
      </c>
    </row>
    <row r="310" spans="1:19" ht="12.75" x14ac:dyDescent="0.2">
      <c r="A310" s="20">
        <v>41974</v>
      </c>
      <c r="B310" t="s">
        <v>395</v>
      </c>
      <c r="C310" t="s">
        <v>388</v>
      </c>
      <c r="D310" t="s">
        <v>352</v>
      </c>
      <c r="E310" t="str">
        <f>VLOOKUP(DataTable[[#This Row],[Country]],Market!B:C,2,FALSE)</f>
        <v>North America</v>
      </c>
      <c r="F310" s="24">
        <v>10</v>
      </c>
      <c r="G310" s="24">
        <v>12330</v>
      </c>
      <c r="H310" s="24">
        <v>20</v>
      </c>
      <c r="I310" s="27">
        <v>1233</v>
      </c>
      <c r="J310" s="24">
        <v>24660</v>
      </c>
      <c r="K310" s="24">
        <v>2959.2</v>
      </c>
      <c r="L310" s="1" t="s">
        <v>158</v>
      </c>
      <c r="M310" s="24">
        <v>21700.799999999999</v>
      </c>
      <c r="N310" s="24">
        <f t="shared" si="4"/>
        <v>9370.7999999999993</v>
      </c>
      <c r="O310" t="str">
        <f>IF(DataTable[[#This Row],[Profit]]/DataTable[[#This Row],[COGS]]*100&gt;20,"Achived","Not Achived")</f>
        <v>Achived</v>
      </c>
      <c r="P310" s="25">
        <f>DataTable[[#This Row],[Profit]]/DataTable[[#This Row],[COGS]]</f>
        <v>0.7599999999999999</v>
      </c>
      <c r="Q310">
        <f>DataTable[[#This Row],[Manufacturing Price]]*DataTable[[#This Row],[Units Sold]]</f>
        <v>12330</v>
      </c>
      <c r="R310" s="26">
        <f>DataTable[[#This Row],[COGS]]-DataTable[[#This Row],[MC_US]]</f>
        <v>0</v>
      </c>
      <c r="S310" s="26">
        <f>IF(DataTable[[#This Row],[COGS-MC_US]]&gt;=0,DataTable[[#This Row],[Manufacturing Price]],DataTable[[#This Row],[COGS]]/DataTable[[#This Row],[Units Sold]])</f>
        <v>10</v>
      </c>
    </row>
    <row r="311" spans="1:19" ht="12.75" x14ac:dyDescent="0.2">
      <c r="A311" s="20">
        <v>41821</v>
      </c>
      <c r="B311" t="s">
        <v>396</v>
      </c>
      <c r="C311" t="s">
        <v>388</v>
      </c>
      <c r="D311" t="s">
        <v>352</v>
      </c>
      <c r="E311" t="str">
        <f>VLOOKUP(DataTable[[#This Row],[Country]],Market!B:C,2,FALSE)</f>
        <v>North America</v>
      </c>
      <c r="F311" s="24">
        <v>120</v>
      </c>
      <c r="G311" s="24">
        <v>362700</v>
      </c>
      <c r="H311" s="24">
        <v>350</v>
      </c>
      <c r="I311" s="27">
        <v>1395</v>
      </c>
      <c r="J311" s="24">
        <v>488250</v>
      </c>
      <c r="K311" s="24">
        <v>58590</v>
      </c>
      <c r="L311" s="1" t="s">
        <v>158</v>
      </c>
      <c r="M311" s="24">
        <v>429660</v>
      </c>
      <c r="N311" s="24">
        <f t="shared" si="4"/>
        <v>66960</v>
      </c>
      <c r="O311" t="str">
        <f>IF(DataTable[[#This Row],[Profit]]/DataTable[[#This Row],[COGS]]*100&gt;20,"Achived","Not Achived")</f>
        <v>Not Achived</v>
      </c>
      <c r="P311" s="25">
        <f>DataTable[[#This Row],[Profit]]/DataTable[[#This Row],[COGS]]</f>
        <v>0.18461538461538463</v>
      </c>
      <c r="Q311">
        <f>DataTable[[#This Row],[Manufacturing Price]]*DataTable[[#This Row],[Units Sold]]</f>
        <v>167400</v>
      </c>
      <c r="R311" s="26">
        <f>DataTable[[#This Row],[COGS]]-DataTable[[#This Row],[MC_US]]</f>
        <v>195300</v>
      </c>
      <c r="S311" s="26">
        <f>IF(DataTable[[#This Row],[COGS-MC_US]]&gt;=0,DataTable[[#This Row],[Manufacturing Price]],DataTable[[#This Row],[COGS]]/DataTable[[#This Row],[Units Sold]])</f>
        <v>120</v>
      </c>
    </row>
    <row r="312" spans="1:19" ht="12.75" x14ac:dyDescent="0.2">
      <c r="A312" s="20">
        <v>41913</v>
      </c>
      <c r="B312" t="s">
        <v>396</v>
      </c>
      <c r="C312" t="s">
        <v>388</v>
      </c>
      <c r="D312" t="s">
        <v>352</v>
      </c>
      <c r="E312" t="str">
        <f>VLOOKUP(DataTable[[#This Row],[Country]],Market!B:C,2,FALSE)</f>
        <v>North America</v>
      </c>
      <c r="F312" s="24">
        <v>120</v>
      </c>
      <c r="G312" s="24">
        <v>9050</v>
      </c>
      <c r="H312" s="24">
        <v>20</v>
      </c>
      <c r="I312" s="27">
        <v>905</v>
      </c>
      <c r="J312" s="24">
        <v>18100</v>
      </c>
      <c r="K312" s="24">
        <v>2172</v>
      </c>
      <c r="L312" s="1" t="s">
        <v>158</v>
      </c>
      <c r="M312" s="24">
        <v>15928</v>
      </c>
      <c r="N312" s="24">
        <f t="shared" si="4"/>
        <v>6878</v>
      </c>
      <c r="O312" t="str">
        <f>IF(DataTable[[#This Row],[Profit]]/DataTable[[#This Row],[COGS]]*100&gt;20,"Achived","Not Achived")</f>
        <v>Achived</v>
      </c>
      <c r="P312" s="25">
        <f>DataTable[[#This Row],[Profit]]/DataTable[[#This Row],[COGS]]</f>
        <v>0.76</v>
      </c>
      <c r="Q312">
        <f>DataTable[[#This Row],[Manufacturing Price]]*DataTable[[#This Row],[Units Sold]]</f>
        <v>108600</v>
      </c>
      <c r="R312" s="26">
        <f>DataTable[[#This Row],[COGS]]-DataTable[[#This Row],[MC_US]]</f>
        <v>-99550</v>
      </c>
      <c r="S312" s="26">
        <f>IF(DataTable[[#This Row],[COGS-MC_US]]&gt;=0,DataTable[[#This Row],[Manufacturing Price]],DataTable[[#This Row],[COGS]]/DataTable[[#This Row],[Units Sold]])</f>
        <v>10</v>
      </c>
    </row>
    <row r="313" spans="1:19" ht="12.75" x14ac:dyDescent="0.2">
      <c r="A313" s="20">
        <v>41974</v>
      </c>
      <c r="B313" t="s">
        <v>397</v>
      </c>
      <c r="C313" t="s">
        <v>388</v>
      </c>
      <c r="D313" t="s">
        <v>352</v>
      </c>
      <c r="E313" t="str">
        <f>VLOOKUP(DataTable[[#This Row],[Country]],Market!B:C,2,FALSE)</f>
        <v>North America</v>
      </c>
      <c r="F313" s="24">
        <v>250</v>
      </c>
      <c r="G313" s="24">
        <v>12330</v>
      </c>
      <c r="H313" s="24">
        <v>20</v>
      </c>
      <c r="I313" s="27">
        <v>1233</v>
      </c>
      <c r="J313" s="24">
        <v>24660</v>
      </c>
      <c r="K313" s="24">
        <v>2959.2</v>
      </c>
      <c r="L313" s="1" t="s">
        <v>158</v>
      </c>
      <c r="M313" s="24">
        <v>21700.799999999999</v>
      </c>
      <c r="N313" s="24">
        <f t="shared" si="4"/>
        <v>9370.7999999999993</v>
      </c>
      <c r="O313" t="str">
        <f>IF(DataTable[[#This Row],[Profit]]/DataTable[[#This Row],[COGS]]*100&gt;20,"Achived","Not Achived")</f>
        <v>Achived</v>
      </c>
      <c r="P313" s="25">
        <f>DataTable[[#This Row],[Profit]]/DataTable[[#This Row],[COGS]]</f>
        <v>0.7599999999999999</v>
      </c>
      <c r="Q313">
        <f>DataTable[[#This Row],[Manufacturing Price]]*DataTable[[#This Row],[Units Sold]]</f>
        <v>308250</v>
      </c>
      <c r="R313" s="26">
        <f>DataTable[[#This Row],[COGS]]-DataTable[[#This Row],[MC_US]]</f>
        <v>-295920</v>
      </c>
      <c r="S313" s="26">
        <f>IF(DataTable[[#This Row],[COGS-MC_US]]&gt;=0,DataTable[[#This Row],[Manufacturing Price]],DataTable[[#This Row],[COGS]]/DataTable[[#This Row],[Units Sold]])</f>
        <v>10</v>
      </c>
    </row>
    <row r="314" spans="1:19" ht="12.75" x14ac:dyDescent="0.2">
      <c r="A314" s="20">
        <v>41821</v>
      </c>
      <c r="B314" t="s">
        <v>391</v>
      </c>
      <c r="C314" t="s">
        <v>388</v>
      </c>
      <c r="D314" t="s">
        <v>352</v>
      </c>
      <c r="E314" t="str">
        <f>VLOOKUP(DataTable[[#This Row],[Country]],Market!B:C,2,FALSE)</f>
        <v>North America</v>
      </c>
      <c r="F314" s="24">
        <v>5</v>
      </c>
      <c r="G314" s="24">
        <v>22550</v>
      </c>
      <c r="H314" s="24">
        <v>20</v>
      </c>
      <c r="I314" s="27">
        <v>2255</v>
      </c>
      <c r="J314" s="24">
        <v>45100</v>
      </c>
      <c r="K314" s="24">
        <v>5863</v>
      </c>
      <c r="L314" s="1" t="s">
        <v>158</v>
      </c>
      <c r="M314" s="24">
        <v>39237</v>
      </c>
      <c r="N314" s="24">
        <f t="shared" si="4"/>
        <v>16687</v>
      </c>
      <c r="O314" t="str">
        <f>IF(DataTable[[#This Row],[Profit]]/DataTable[[#This Row],[COGS]]*100&gt;20,"Achived","Not Achived")</f>
        <v>Achived</v>
      </c>
      <c r="P314" s="25">
        <f>DataTable[[#This Row],[Profit]]/DataTable[[#This Row],[COGS]]</f>
        <v>0.74</v>
      </c>
      <c r="Q314">
        <f>DataTable[[#This Row],[Manufacturing Price]]*DataTable[[#This Row],[Units Sold]]</f>
        <v>11275</v>
      </c>
      <c r="R314" s="26">
        <f>DataTable[[#This Row],[COGS]]-DataTable[[#This Row],[MC_US]]</f>
        <v>11275</v>
      </c>
      <c r="S314" s="26">
        <f>IF(DataTable[[#This Row],[COGS-MC_US]]&gt;=0,DataTable[[#This Row],[Manufacturing Price]],DataTable[[#This Row],[COGS]]/DataTable[[#This Row],[Units Sold]])</f>
        <v>5</v>
      </c>
    </row>
    <row r="315" spans="1:19" ht="12.75" x14ac:dyDescent="0.2">
      <c r="A315" s="20">
        <v>41730</v>
      </c>
      <c r="B315" t="s">
        <v>389</v>
      </c>
      <c r="C315" t="s">
        <v>388</v>
      </c>
      <c r="D315" t="s">
        <v>352</v>
      </c>
      <c r="E315" t="str">
        <f>VLOOKUP(DataTable[[#This Row],[Country]],Market!B:C,2,FALSE)</f>
        <v>North America</v>
      </c>
      <c r="F315" s="24">
        <v>3</v>
      </c>
      <c r="G315" s="24">
        <v>25790</v>
      </c>
      <c r="H315" s="24">
        <v>20</v>
      </c>
      <c r="I315" s="27">
        <v>2579</v>
      </c>
      <c r="J315" s="24">
        <v>51580</v>
      </c>
      <c r="K315" s="24">
        <v>7221.2</v>
      </c>
      <c r="L315" s="1" t="s">
        <v>158</v>
      </c>
      <c r="M315" s="24">
        <v>44358.8</v>
      </c>
      <c r="N315" s="24">
        <f t="shared" si="4"/>
        <v>18568.800000000003</v>
      </c>
      <c r="O315" t="str">
        <f>IF(DataTable[[#This Row],[Profit]]/DataTable[[#This Row],[COGS]]*100&gt;20,"Achived","Not Achived")</f>
        <v>Achived</v>
      </c>
      <c r="P315" s="25">
        <f>DataTable[[#This Row],[Profit]]/DataTable[[#This Row],[COGS]]</f>
        <v>0.72000000000000008</v>
      </c>
      <c r="Q315">
        <f>DataTable[[#This Row],[Manufacturing Price]]*DataTable[[#This Row],[Units Sold]]</f>
        <v>7737</v>
      </c>
      <c r="R315" s="26">
        <f>DataTable[[#This Row],[COGS]]-DataTable[[#This Row],[MC_US]]</f>
        <v>18053</v>
      </c>
      <c r="S315" s="26">
        <f>IF(DataTable[[#This Row],[COGS-MC_US]]&gt;=0,DataTable[[#This Row],[Manufacturing Price]],DataTable[[#This Row],[COGS]]/DataTable[[#This Row],[Units Sold]])</f>
        <v>3</v>
      </c>
    </row>
    <row r="316" spans="1:19" ht="12.75" x14ac:dyDescent="0.2">
      <c r="A316" s="20">
        <v>41548</v>
      </c>
      <c r="B316" t="s">
        <v>391</v>
      </c>
      <c r="C316" t="s">
        <v>388</v>
      </c>
      <c r="D316" t="s">
        <v>352</v>
      </c>
      <c r="E316" t="str">
        <f>VLOOKUP(DataTable[[#This Row],[Country]],Market!B:C,2,FALSE)</f>
        <v>North America</v>
      </c>
      <c r="F316" s="24">
        <v>5</v>
      </c>
      <c r="G316" s="24">
        <v>8635</v>
      </c>
      <c r="H316" s="24">
        <v>7</v>
      </c>
      <c r="I316" s="27">
        <v>1727</v>
      </c>
      <c r="J316" s="24">
        <v>12089</v>
      </c>
      <c r="K316" s="24">
        <v>1692.46</v>
      </c>
      <c r="L316" s="1" t="s">
        <v>158</v>
      </c>
      <c r="M316" s="24">
        <v>10396.540000000001</v>
      </c>
      <c r="N316" s="24">
        <f t="shared" si="4"/>
        <v>1761.5400000000009</v>
      </c>
      <c r="O316" t="str">
        <f>IF(DataTable[[#This Row],[Profit]]/DataTable[[#This Row],[COGS]]*100&gt;20,"Achived","Not Achived")</f>
        <v>Achived</v>
      </c>
      <c r="P316" s="25">
        <f>DataTable[[#This Row],[Profit]]/DataTable[[#This Row],[COGS]]</f>
        <v>0.2040000000000001</v>
      </c>
      <c r="Q316">
        <f>DataTable[[#This Row],[Manufacturing Price]]*DataTable[[#This Row],[Units Sold]]</f>
        <v>8635</v>
      </c>
      <c r="R316" s="26">
        <f>DataTable[[#This Row],[COGS]]-DataTable[[#This Row],[MC_US]]</f>
        <v>0</v>
      </c>
      <c r="S316" s="26">
        <f>IF(DataTable[[#This Row],[COGS-MC_US]]&gt;=0,DataTable[[#This Row],[Manufacturing Price]],DataTable[[#This Row],[COGS]]/DataTable[[#This Row],[Units Sold]])</f>
        <v>5</v>
      </c>
    </row>
    <row r="317" spans="1:19" ht="12.75" x14ac:dyDescent="0.2">
      <c r="A317" s="20">
        <v>41671</v>
      </c>
      <c r="B317" t="s">
        <v>395</v>
      </c>
      <c r="C317" t="s">
        <v>388</v>
      </c>
      <c r="D317" t="s">
        <v>352</v>
      </c>
      <c r="E317" t="str">
        <f>VLOOKUP(DataTable[[#This Row],[Country]],Market!B:C,2,FALSE)</f>
        <v>North America</v>
      </c>
      <c r="F317" s="24">
        <v>10</v>
      </c>
      <c r="G317" s="24">
        <v>2600</v>
      </c>
      <c r="H317" s="24">
        <v>20</v>
      </c>
      <c r="I317" s="27">
        <v>260</v>
      </c>
      <c r="J317" s="24">
        <v>5200</v>
      </c>
      <c r="K317" s="24">
        <v>728</v>
      </c>
      <c r="L317" s="1" t="s">
        <v>158</v>
      </c>
      <c r="M317" s="24">
        <v>4472</v>
      </c>
      <c r="N317" s="24">
        <f t="shared" si="4"/>
        <v>1872</v>
      </c>
      <c r="O317" t="str">
        <f>IF(DataTable[[#This Row],[Profit]]/DataTable[[#This Row],[COGS]]*100&gt;20,"Achived","Not Achived")</f>
        <v>Achived</v>
      </c>
      <c r="P317" s="25">
        <f>DataTable[[#This Row],[Profit]]/DataTable[[#This Row],[COGS]]</f>
        <v>0.72</v>
      </c>
      <c r="Q317">
        <f>DataTable[[#This Row],[Manufacturing Price]]*DataTable[[#This Row],[Units Sold]]</f>
        <v>2600</v>
      </c>
      <c r="R317" s="26">
        <f>DataTable[[#This Row],[COGS]]-DataTable[[#This Row],[MC_US]]</f>
        <v>0</v>
      </c>
      <c r="S317" s="26">
        <f>IF(DataTable[[#This Row],[COGS-MC_US]]&gt;=0,DataTable[[#This Row],[Manufacturing Price]],DataTable[[#This Row],[COGS]]/DataTable[[#This Row],[Units Sold]])</f>
        <v>10</v>
      </c>
    </row>
    <row r="318" spans="1:19" ht="12.75" x14ac:dyDescent="0.2">
      <c r="A318" s="20">
        <v>41699</v>
      </c>
      <c r="B318" t="s">
        <v>397</v>
      </c>
      <c r="C318" t="s">
        <v>388</v>
      </c>
      <c r="D318" t="s">
        <v>352</v>
      </c>
      <c r="E318" t="str">
        <f>VLOOKUP(DataTable[[#This Row],[Country]],Market!B:C,2,FALSE)</f>
        <v>North America</v>
      </c>
      <c r="F318" s="24">
        <v>250</v>
      </c>
      <c r="G318" s="24">
        <v>14515</v>
      </c>
      <c r="H318" s="24">
        <v>7</v>
      </c>
      <c r="I318" s="27">
        <v>2903</v>
      </c>
      <c r="J318" s="24">
        <v>20321</v>
      </c>
      <c r="K318" s="24">
        <v>2844.94</v>
      </c>
      <c r="L318" s="1" t="s">
        <v>158</v>
      </c>
      <c r="M318" s="24">
        <v>17476.060000000001</v>
      </c>
      <c r="N318" s="24">
        <f t="shared" si="4"/>
        <v>2961.0600000000013</v>
      </c>
      <c r="O318" t="str">
        <f>IF(DataTable[[#This Row],[Profit]]/DataTable[[#This Row],[COGS]]*100&gt;20,"Achived","Not Achived")</f>
        <v>Achived</v>
      </c>
      <c r="P318" s="25">
        <f>DataTable[[#This Row],[Profit]]/DataTable[[#This Row],[COGS]]</f>
        <v>0.2040000000000001</v>
      </c>
      <c r="Q318">
        <f>DataTable[[#This Row],[Manufacturing Price]]*DataTable[[#This Row],[Units Sold]]</f>
        <v>725750</v>
      </c>
      <c r="R318" s="26">
        <f>DataTable[[#This Row],[COGS]]-DataTable[[#This Row],[MC_US]]</f>
        <v>-711235</v>
      </c>
      <c r="S318" s="26">
        <f>IF(DataTable[[#This Row],[COGS-MC_US]]&gt;=0,DataTable[[#This Row],[Manufacturing Price]],DataTable[[#This Row],[COGS]]/DataTable[[#This Row],[Units Sold]])</f>
        <v>5</v>
      </c>
    </row>
    <row r="319" spans="1:19" ht="12.75" x14ac:dyDescent="0.2">
      <c r="A319" s="20">
        <v>41548</v>
      </c>
      <c r="B319" t="s">
        <v>398</v>
      </c>
      <c r="C319" t="s">
        <v>388</v>
      </c>
      <c r="D319" t="s">
        <v>352</v>
      </c>
      <c r="E319" t="str">
        <f>VLOOKUP(DataTable[[#This Row],[Country]],Market!B:C,2,FALSE)</f>
        <v>North America</v>
      </c>
      <c r="F319" s="24">
        <v>260</v>
      </c>
      <c r="G319" s="24">
        <v>8635</v>
      </c>
      <c r="H319" s="24">
        <v>7</v>
      </c>
      <c r="I319" s="27">
        <v>1727</v>
      </c>
      <c r="J319" s="24">
        <v>12089</v>
      </c>
      <c r="K319" s="24">
        <v>1692.46</v>
      </c>
      <c r="L319" s="1" t="s">
        <v>158</v>
      </c>
      <c r="M319" s="24">
        <v>10396.540000000001</v>
      </c>
      <c r="N319" s="24">
        <f t="shared" si="4"/>
        <v>1761.5400000000009</v>
      </c>
      <c r="O319" t="str">
        <f>IF(DataTable[[#This Row],[Profit]]/DataTable[[#This Row],[COGS]]*100&gt;20,"Achived","Not Achived")</f>
        <v>Achived</v>
      </c>
      <c r="P319" s="25">
        <f>DataTable[[#This Row],[Profit]]/DataTable[[#This Row],[COGS]]</f>
        <v>0.2040000000000001</v>
      </c>
      <c r="Q319">
        <f>DataTable[[#This Row],[Manufacturing Price]]*DataTable[[#This Row],[Units Sold]]</f>
        <v>449020</v>
      </c>
      <c r="R319" s="26">
        <f>DataTable[[#This Row],[COGS]]-DataTable[[#This Row],[MC_US]]</f>
        <v>-440385</v>
      </c>
      <c r="S319" s="26">
        <f>IF(DataTable[[#This Row],[COGS-MC_US]]&gt;=0,DataTable[[#This Row],[Manufacturing Price]],DataTable[[#This Row],[COGS]]/DataTable[[#This Row],[Units Sold]])</f>
        <v>5</v>
      </c>
    </row>
    <row r="320" spans="1:19" ht="12.75" x14ac:dyDescent="0.2">
      <c r="A320" s="20">
        <v>41730</v>
      </c>
      <c r="B320" t="s">
        <v>395</v>
      </c>
      <c r="C320" t="s">
        <v>388</v>
      </c>
      <c r="D320" t="s">
        <v>352</v>
      </c>
      <c r="E320" t="str">
        <f>VLOOKUP(DataTable[[#This Row],[Country]],Market!B:C,2,FALSE)</f>
        <v>North America</v>
      </c>
      <c r="F320" s="24">
        <v>10</v>
      </c>
      <c r="G320" s="24">
        <v>12675</v>
      </c>
      <c r="H320" s="24">
        <v>7</v>
      </c>
      <c r="I320" s="27">
        <v>2535</v>
      </c>
      <c r="J320" s="24">
        <v>17745</v>
      </c>
      <c r="K320" s="24">
        <v>2661.75</v>
      </c>
      <c r="L320" s="1" t="s">
        <v>158</v>
      </c>
      <c r="M320" s="24">
        <v>15083.25</v>
      </c>
      <c r="N320" s="24">
        <f t="shared" si="4"/>
        <v>2408.25</v>
      </c>
      <c r="O320" t="str">
        <f>IF(DataTable[[#This Row],[Profit]]/DataTable[[#This Row],[COGS]]*100&gt;20,"Achived","Not Achived")</f>
        <v>Not Achived</v>
      </c>
      <c r="P320" s="25">
        <f>DataTable[[#This Row],[Profit]]/DataTable[[#This Row],[COGS]]</f>
        <v>0.19</v>
      </c>
      <c r="Q320">
        <f>DataTable[[#This Row],[Manufacturing Price]]*DataTable[[#This Row],[Units Sold]]</f>
        <v>25350</v>
      </c>
      <c r="R320" s="26">
        <f>DataTable[[#This Row],[COGS]]-DataTable[[#This Row],[MC_US]]</f>
        <v>-12675</v>
      </c>
      <c r="S320" s="26">
        <f>IF(DataTable[[#This Row],[COGS-MC_US]]&gt;=0,DataTable[[#This Row],[Manufacturing Price]],DataTable[[#This Row],[COGS]]/DataTable[[#This Row],[Units Sold]])</f>
        <v>5</v>
      </c>
    </row>
    <row r="321" spans="1:19" ht="12.75" x14ac:dyDescent="0.2">
      <c r="A321" s="20">
        <v>41760</v>
      </c>
      <c r="B321" t="s">
        <v>395</v>
      </c>
      <c r="C321" t="s">
        <v>388</v>
      </c>
      <c r="D321" t="s">
        <v>352</v>
      </c>
      <c r="E321" t="str">
        <f>VLOOKUP(DataTable[[#This Row],[Country]],Market!B:C,2,FALSE)</f>
        <v>North America</v>
      </c>
      <c r="F321" s="24">
        <v>10</v>
      </c>
      <c r="G321" s="24">
        <v>741260</v>
      </c>
      <c r="H321" s="24">
        <v>350</v>
      </c>
      <c r="I321" s="27">
        <v>2851</v>
      </c>
      <c r="J321" s="24">
        <v>997850</v>
      </c>
      <c r="K321" s="24">
        <v>149677.5</v>
      </c>
      <c r="L321" s="1" t="s">
        <v>158</v>
      </c>
      <c r="M321" s="24">
        <v>848172.5</v>
      </c>
      <c r="N321" s="24">
        <f t="shared" si="4"/>
        <v>106912.5</v>
      </c>
      <c r="O321" t="str">
        <f>IF(DataTable[[#This Row],[Profit]]/DataTable[[#This Row],[COGS]]*100&gt;20,"Achived","Not Achived")</f>
        <v>Not Achived</v>
      </c>
      <c r="P321" s="25">
        <f>DataTable[[#This Row],[Profit]]/DataTable[[#This Row],[COGS]]</f>
        <v>0.14423076923076922</v>
      </c>
      <c r="Q321">
        <f>DataTable[[#This Row],[Manufacturing Price]]*DataTable[[#This Row],[Units Sold]]</f>
        <v>28510</v>
      </c>
      <c r="R321" s="26">
        <f>DataTable[[#This Row],[COGS]]-DataTable[[#This Row],[MC_US]]</f>
        <v>712750</v>
      </c>
      <c r="S321" s="26">
        <f>IF(DataTable[[#This Row],[COGS-MC_US]]&gt;=0,DataTable[[#This Row],[Manufacturing Price]],DataTable[[#This Row],[COGS]]/DataTable[[#This Row],[Units Sold]])</f>
        <v>10</v>
      </c>
    </row>
    <row r="322" spans="1:19" ht="12.75" x14ac:dyDescent="0.2">
      <c r="A322" s="20">
        <v>41579</v>
      </c>
      <c r="B322" t="s">
        <v>395</v>
      </c>
      <c r="C322" t="s">
        <v>388</v>
      </c>
      <c r="D322" t="s">
        <v>352</v>
      </c>
      <c r="E322" t="str">
        <f>VLOOKUP(DataTable[[#This Row],[Country]],Market!B:C,2,FALSE)</f>
        <v>North America</v>
      </c>
      <c r="F322" s="24">
        <v>10</v>
      </c>
      <c r="G322" s="24">
        <v>559260</v>
      </c>
      <c r="H322" s="24">
        <v>350</v>
      </c>
      <c r="I322" s="27">
        <v>2151</v>
      </c>
      <c r="J322" s="24">
        <v>752850</v>
      </c>
      <c r="K322" s="24">
        <v>112927.5</v>
      </c>
      <c r="L322" s="1" t="s">
        <v>158</v>
      </c>
      <c r="M322" s="24">
        <v>639922.5</v>
      </c>
      <c r="N322" s="24">
        <f t="shared" si="4"/>
        <v>80662.5</v>
      </c>
      <c r="O322" t="str">
        <f>IF(DataTable[[#This Row],[Profit]]/DataTable[[#This Row],[COGS]]*100&gt;20,"Achived","Not Achived")</f>
        <v>Not Achived</v>
      </c>
      <c r="P322" s="25">
        <f>DataTable[[#This Row],[Profit]]/DataTable[[#This Row],[COGS]]</f>
        <v>0.14423076923076922</v>
      </c>
      <c r="Q322">
        <f>DataTable[[#This Row],[Manufacturing Price]]*DataTable[[#This Row],[Units Sold]]</f>
        <v>21510</v>
      </c>
      <c r="R322" s="26">
        <f>DataTable[[#This Row],[COGS]]-DataTable[[#This Row],[MC_US]]</f>
        <v>537750</v>
      </c>
      <c r="S322" s="26">
        <f>IF(DataTable[[#This Row],[COGS-MC_US]]&gt;=0,DataTable[[#This Row],[Manufacturing Price]],DataTable[[#This Row],[COGS]]/DataTable[[#This Row],[Units Sold]])</f>
        <v>10</v>
      </c>
    </row>
    <row r="323" spans="1:19" ht="12.75" x14ac:dyDescent="0.2">
      <c r="A323" s="20">
        <v>41671</v>
      </c>
      <c r="B323" t="s">
        <v>391</v>
      </c>
      <c r="C323" t="s">
        <v>388</v>
      </c>
      <c r="D323" t="s">
        <v>352</v>
      </c>
      <c r="E323" t="str">
        <f>VLOOKUP(DataTable[[#This Row],[Country]],Market!B:C,2,FALSE)</f>
        <v>North America</v>
      </c>
      <c r="F323" s="24">
        <v>5</v>
      </c>
      <c r="G323" s="24">
        <v>6840</v>
      </c>
      <c r="H323" s="24">
        <v>7</v>
      </c>
      <c r="I323" s="27">
        <v>1368</v>
      </c>
      <c r="J323" s="24">
        <v>9576</v>
      </c>
      <c r="K323" s="24">
        <v>1436.4</v>
      </c>
      <c r="L323" s="1" t="s">
        <v>158</v>
      </c>
      <c r="M323" s="24">
        <v>8139.6</v>
      </c>
      <c r="N323" s="24">
        <f t="shared" si="4"/>
        <v>1299.6000000000004</v>
      </c>
      <c r="O323" t="str">
        <f>IF(DataTable[[#This Row],[Profit]]/DataTable[[#This Row],[COGS]]*100&gt;20,"Achived","Not Achived")</f>
        <v>Not Achived</v>
      </c>
      <c r="P323" s="25">
        <f>DataTable[[#This Row],[Profit]]/DataTable[[#This Row],[COGS]]</f>
        <v>0.19000000000000006</v>
      </c>
      <c r="Q323">
        <f>DataTable[[#This Row],[Manufacturing Price]]*DataTable[[#This Row],[Units Sold]]</f>
        <v>6840</v>
      </c>
      <c r="R323" s="26">
        <f>DataTable[[#This Row],[COGS]]-DataTable[[#This Row],[MC_US]]</f>
        <v>0</v>
      </c>
      <c r="S323" s="26">
        <f>IF(DataTable[[#This Row],[COGS-MC_US]]&gt;=0,DataTable[[#This Row],[Manufacturing Price]],DataTable[[#This Row],[COGS]]/DataTable[[#This Row],[Units Sold]])</f>
        <v>5</v>
      </c>
    </row>
    <row r="324" spans="1:19" ht="12.75" hidden="1" x14ac:dyDescent="0.2">
      <c r="A324" s="20">
        <v>41640</v>
      </c>
      <c r="B324" t="s">
        <v>389</v>
      </c>
      <c r="C324" t="s">
        <v>388</v>
      </c>
      <c r="D324" t="s">
        <v>305</v>
      </c>
      <c r="E324" t="str">
        <f>VLOOKUP(DataTable[[#This Row],[Country]],Market!B:C,2,FALSE)</f>
        <v>Europe</v>
      </c>
      <c r="F324" s="24">
        <v>3</v>
      </c>
      <c r="G324" s="24">
        <v>13210</v>
      </c>
      <c r="H324" s="24">
        <v>20</v>
      </c>
      <c r="I324" s="27">
        <v>1321</v>
      </c>
      <c r="J324" s="24">
        <v>26420</v>
      </c>
      <c r="K324" s="24">
        <v>0</v>
      </c>
      <c r="L324" s="1" t="s">
        <v>12</v>
      </c>
      <c r="M324" s="24">
        <v>26420</v>
      </c>
      <c r="N324" s="24">
        <f t="shared" ref="N324:N387" si="5">M324-G324</f>
        <v>13210</v>
      </c>
      <c r="O324" t="str">
        <f>IF(DataTable[[#This Row],[Profit]]/DataTable[[#This Row],[COGS]]*100&gt;20,"Achived","Not Achived")</f>
        <v>Achived</v>
      </c>
      <c r="P324" s="25">
        <f>DataTable[[#This Row],[Profit]]/DataTable[[#This Row],[COGS]]</f>
        <v>1</v>
      </c>
      <c r="Q324">
        <f>DataTable[[#This Row],[Manufacturing Price]]*DataTable[[#This Row],[Units Sold]]</f>
        <v>3963</v>
      </c>
      <c r="R324" s="26">
        <f>DataTable[[#This Row],[COGS]]-DataTable[[#This Row],[MC_US]]</f>
        <v>9247</v>
      </c>
      <c r="S324" s="26">
        <f>IF(DataTable[[#This Row],[COGS-MC_US]]&gt;=0,DataTable[[#This Row],[Manufacturing Price]],DataTable[[#This Row],[COGS]]/DataTable[[#This Row],[Units Sold]])</f>
        <v>3</v>
      </c>
    </row>
    <row r="325" spans="1:19" ht="12.75" hidden="1" x14ac:dyDescent="0.2">
      <c r="A325" s="20">
        <v>41974</v>
      </c>
      <c r="B325" t="s">
        <v>389</v>
      </c>
      <c r="C325" t="s">
        <v>388</v>
      </c>
      <c r="D325" t="s">
        <v>305</v>
      </c>
      <c r="E325" t="str">
        <f>VLOOKUP(DataTable[[#This Row],[Country]],Market!B:C,2,FALSE)</f>
        <v>Europe</v>
      </c>
      <c r="F325" s="24">
        <v>3</v>
      </c>
      <c r="G325" s="24">
        <v>393380</v>
      </c>
      <c r="H325" s="24">
        <v>350</v>
      </c>
      <c r="I325" s="27">
        <v>1513</v>
      </c>
      <c r="J325" s="24">
        <v>529550</v>
      </c>
      <c r="K325" s="24">
        <v>0</v>
      </c>
      <c r="L325" s="1" t="s">
        <v>12</v>
      </c>
      <c r="M325" s="24">
        <v>529550</v>
      </c>
      <c r="N325" s="24">
        <f t="shared" si="5"/>
        <v>136170</v>
      </c>
      <c r="O325" t="str">
        <f>IF(DataTable[[#This Row],[Profit]]/DataTable[[#This Row],[COGS]]*100&gt;20,"Achived","Not Achived")</f>
        <v>Achived</v>
      </c>
      <c r="P325" s="25">
        <f>DataTable[[#This Row],[Profit]]/DataTable[[#This Row],[COGS]]</f>
        <v>0.34615384615384615</v>
      </c>
      <c r="Q325">
        <f>DataTable[[#This Row],[Manufacturing Price]]*DataTable[[#This Row],[Units Sold]]</f>
        <v>4539</v>
      </c>
      <c r="R325" s="26">
        <f>DataTable[[#This Row],[COGS]]-DataTable[[#This Row],[MC_US]]</f>
        <v>388841</v>
      </c>
      <c r="S325" s="26">
        <f>IF(DataTable[[#This Row],[COGS-MC_US]]&gt;=0,DataTable[[#This Row],[Manufacturing Price]],DataTable[[#This Row],[COGS]]/DataTable[[#This Row],[Units Sold]])</f>
        <v>3</v>
      </c>
    </row>
    <row r="326" spans="1:19" ht="12.75" hidden="1" x14ac:dyDescent="0.2">
      <c r="A326" s="20">
        <v>41883</v>
      </c>
      <c r="B326" t="s">
        <v>391</v>
      </c>
      <c r="C326" t="s">
        <v>388</v>
      </c>
      <c r="D326" t="s">
        <v>305</v>
      </c>
      <c r="E326" t="str">
        <f>VLOOKUP(DataTable[[#This Row],[Country]],Market!B:C,2,FALSE)</f>
        <v>Europe</v>
      </c>
      <c r="F326" s="24">
        <v>5</v>
      </c>
      <c r="G326" s="24">
        <v>10730</v>
      </c>
      <c r="H326" s="24">
        <v>7</v>
      </c>
      <c r="I326" s="27">
        <v>2146</v>
      </c>
      <c r="J326" s="24">
        <v>15022</v>
      </c>
      <c r="K326" s="24">
        <v>0</v>
      </c>
      <c r="L326" s="1" t="s">
        <v>12</v>
      </c>
      <c r="M326" s="24">
        <v>15022</v>
      </c>
      <c r="N326" s="24">
        <f t="shared" si="5"/>
        <v>4292</v>
      </c>
      <c r="O326" t="str">
        <f>IF(DataTable[[#This Row],[Profit]]/DataTable[[#This Row],[COGS]]*100&gt;20,"Achived","Not Achived")</f>
        <v>Achived</v>
      </c>
      <c r="P326" s="25">
        <f>DataTable[[#This Row],[Profit]]/DataTable[[#This Row],[COGS]]</f>
        <v>0.4</v>
      </c>
      <c r="Q326">
        <f>DataTable[[#This Row],[Manufacturing Price]]*DataTable[[#This Row],[Units Sold]]</f>
        <v>10730</v>
      </c>
      <c r="R326" s="26">
        <f>DataTable[[#This Row],[COGS]]-DataTable[[#This Row],[MC_US]]</f>
        <v>0</v>
      </c>
      <c r="S326" s="26">
        <f>IF(DataTable[[#This Row],[COGS-MC_US]]&gt;=0,DataTable[[#This Row],[Manufacturing Price]],DataTable[[#This Row],[COGS]]/DataTable[[#This Row],[Units Sold]])</f>
        <v>5</v>
      </c>
    </row>
    <row r="327" spans="1:19" ht="12.75" hidden="1" x14ac:dyDescent="0.2">
      <c r="A327" s="20">
        <v>41791</v>
      </c>
      <c r="B327" t="s">
        <v>395</v>
      </c>
      <c r="C327" t="s">
        <v>388</v>
      </c>
      <c r="D327" t="s">
        <v>305</v>
      </c>
      <c r="E327" t="str">
        <f>VLOOKUP(DataTable[[#This Row],[Country]],Market!B:C,2,FALSE)</f>
        <v>Europe</v>
      </c>
      <c r="F327" s="24">
        <v>10</v>
      </c>
      <c r="G327" s="24">
        <v>261560</v>
      </c>
      <c r="H327" s="24">
        <v>350</v>
      </c>
      <c r="I327" s="27">
        <v>1006</v>
      </c>
      <c r="J327" s="24">
        <v>352100</v>
      </c>
      <c r="K327" s="24">
        <v>0</v>
      </c>
      <c r="L327" s="1" t="s">
        <v>12</v>
      </c>
      <c r="M327" s="24">
        <v>352100</v>
      </c>
      <c r="N327" s="24">
        <f t="shared" si="5"/>
        <v>90540</v>
      </c>
      <c r="O327" t="str">
        <f>IF(DataTable[[#This Row],[Profit]]/DataTable[[#This Row],[COGS]]*100&gt;20,"Achived","Not Achived")</f>
        <v>Achived</v>
      </c>
      <c r="P327" s="25">
        <f>DataTable[[#This Row],[Profit]]/DataTable[[#This Row],[COGS]]</f>
        <v>0.34615384615384615</v>
      </c>
      <c r="Q327">
        <f>DataTable[[#This Row],[Manufacturing Price]]*DataTable[[#This Row],[Units Sold]]</f>
        <v>10060</v>
      </c>
      <c r="R327" s="26">
        <f>DataTable[[#This Row],[COGS]]-DataTable[[#This Row],[MC_US]]</f>
        <v>251500</v>
      </c>
      <c r="S327" s="26">
        <f>IF(DataTable[[#This Row],[COGS-MC_US]]&gt;=0,DataTable[[#This Row],[Manufacturing Price]],DataTable[[#This Row],[COGS]]/DataTable[[#This Row],[Units Sold]])</f>
        <v>10</v>
      </c>
    </row>
    <row r="328" spans="1:19" ht="12.75" hidden="1" x14ac:dyDescent="0.2">
      <c r="A328" s="20">
        <v>41974</v>
      </c>
      <c r="B328" t="s">
        <v>395</v>
      </c>
      <c r="C328" t="s">
        <v>388</v>
      </c>
      <c r="D328" t="s">
        <v>305</v>
      </c>
      <c r="E328" t="str">
        <f>VLOOKUP(DataTable[[#This Row],[Country]],Market!B:C,2,FALSE)</f>
        <v>Europe</v>
      </c>
      <c r="F328" s="24">
        <v>10</v>
      </c>
      <c r="G328" s="24">
        <v>393380</v>
      </c>
      <c r="H328" s="24">
        <v>350</v>
      </c>
      <c r="I328" s="27">
        <v>1513</v>
      </c>
      <c r="J328" s="24">
        <v>529550</v>
      </c>
      <c r="K328" s="24">
        <v>0</v>
      </c>
      <c r="L328" s="1" t="s">
        <v>12</v>
      </c>
      <c r="M328" s="24">
        <v>529550</v>
      </c>
      <c r="N328" s="24">
        <f t="shared" si="5"/>
        <v>136170</v>
      </c>
      <c r="O328" t="str">
        <f>IF(DataTable[[#This Row],[Profit]]/DataTable[[#This Row],[COGS]]*100&gt;20,"Achived","Not Achived")</f>
        <v>Achived</v>
      </c>
      <c r="P328" s="25">
        <f>DataTable[[#This Row],[Profit]]/DataTable[[#This Row],[COGS]]</f>
        <v>0.34615384615384615</v>
      </c>
      <c r="Q328">
        <f>DataTable[[#This Row],[Manufacturing Price]]*DataTable[[#This Row],[Units Sold]]</f>
        <v>15130</v>
      </c>
      <c r="R328" s="26">
        <f>DataTable[[#This Row],[COGS]]-DataTable[[#This Row],[MC_US]]</f>
        <v>378250</v>
      </c>
      <c r="S328" s="26">
        <f>IF(DataTable[[#This Row],[COGS-MC_US]]&gt;=0,DataTable[[#This Row],[Manufacturing Price]],DataTable[[#This Row],[COGS]]/DataTable[[#This Row],[Units Sold]])</f>
        <v>10</v>
      </c>
    </row>
    <row r="329" spans="1:19" ht="12.75" hidden="1" x14ac:dyDescent="0.2">
      <c r="A329" s="20">
        <v>41791</v>
      </c>
      <c r="B329" t="s">
        <v>396</v>
      </c>
      <c r="C329" t="s">
        <v>388</v>
      </c>
      <c r="D329" t="s">
        <v>305</v>
      </c>
      <c r="E329" t="str">
        <f>VLOOKUP(DataTable[[#This Row],[Country]],Market!B:C,2,FALSE)</f>
        <v>Europe</v>
      </c>
      <c r="F329" s="24">
        <v>120</v>
      </c>
      <c r="G329" s="24">
        <v>261560</v>
      </c>
      <c r="H329" s="24">
        <v>350</v>
      </c>
      <c r="I329" s="27">
        <v>1006</v>
      </c>
      <c r="J329" s="24">
        <v>352100</v>
      </c>
      <c r="K329" s="24">
        <v>0</v>
      </c>
      <c r="L329" s="1" t="s">
        <v>12</v>
      </c>
      <c r="M329" s="24">
        <v>352100</v>
      </c>
      <c r="N329" s="24">
        <f t="shared" si="5"/>
        <v>90540</v>
      </c>
      <c r="O329" t="str">
        <f>IF(DataTable[[#This Row],[Profit]]/DataTable[[#This Row],[COGS]]*100&gt;20,"Achived","Not Achived")</f>
        <v>Achived</v>
      </c>
      <c r="P329" s="25">
        <f>DataTable[[#This Row],[Profit]]/DataTable[[#This Row],[COGS]]</f>
        <v>0.34615384615384615</v>
      </c>
      <c r="Q329">
        <f>DataTable[[#This Row],[Manufacturing Price]]*DataTable[[#This Row],[Units Sold]]</f>
        <v>120720</v>
      </c>
      <c r="R329" s="26">
        <f>DataTable[[#This Row],[COGS]]-DataTable[[#This Row],[MC_US]]</f>
        <v>140840</v>
      </c>
      <c r="S329" s="26">
        <f>IF(DataTable[[#This Row],[COGS-MC_US]]&gt;=0,DataTable[[#This Row],[Manufacturing Price]],DataTable[[#This Row],[COGS]]/DataTable[[#This Row],[Units Sold]])</f>
        <v>120</v>
      </c>
    </row>
    <row r="330" spans="1:19" ht="12.75" hidden="1" x14ac:dyDescent="0.2">
      <c r="A330" s="20">
        <v>41821</v>
      </c>
      <c r="B330" t="s">
        <v>398</v>
      </c>
      <c r="C330" t="s">
        <v>388</v>
      </c>
      <c r="D330" t="s">
        <v>305</v>
      </c>
      <c r="E330" t="str">
        <f>VLOOKUP(DataTable[[#This Row],[Country]],Market!B:C,2,FALSE)</f>
        <v>Europe</v>
      </c>
      <c r="F330" s="24">
        <v>260</v>
      </c>
      <c r="G330" s="24">
        <v>8430</v>
      </c>
      <c r="H330" s="24">
        <v>7</v>
      </c>
      <c r="I330" s="27">
        <v>1686</v>
      </c>
      <c r="J330" s="24">
        <v>11802</v>
      </c>
      <c r="K330" s="24">
        <v>0</v>
      </c>
      <c r="L330" s="1" t="s">
        <v>12</v>
      </c>
      <c r="M330" s="24">
        <v>11802</v>
      </c>
      <c r="N330" s="24">
        <f t="shared" si="5"/>
        <v>3372</v>
      </c>
      <c r="O330" t="str">
        <f>IF(DataTable[[#This Row],[Profit]]/DataTable[[#This Row],[COGS]]*100&gt;20,"Achived","Not Achived")</f>
        <v>Achived</v>
      </c>
      <c r="P330" s="25">
        <f>DataTable[[#This Row],[Profit]]/DataTable[[#This Row],[COGS]]</f>
        <v>0.4</v>
      </c>
      <c r="Q330">
        <f>DataTable[[#This Row],[Manufacturing Price]]*DataTable[[#This Row],[Units Sold]]</f>
        <v>438360</v>
      </c>
      <c r="R330" s="26">
        <f>DataTable[[#This Row],[COGS]]-DataTable[[#This Row],[MC_US]]</f>
        <v>-429930</v>
      </c>
      <c r="S330" s="26">
        <f>IF(DataTable[[#This Row],[COGS-MC_US]]&gt;=0,DataTable[[#This Row],[Manufacturing Price]],DataTable[[#This Row],[COGS]]/DataTable[[#This Row],[Units Sold]])</f>
        <v>5</v>
      </c>
    </row>
    <row r="331" spans="1:19" ht="12.75" hidden="1" x14ac:dyDescent="0.2">
      <c r="A331" s="20">
        <v>41699</v>
      </c>
      <c r="B331" t="s">
        <v>397</v>
      </c>
      <c r="C331" t="s">
        <v>388</v>
      </c>
      <c r="D331" t="s">
        <v>305</v>
      </c>
      <c r="E331" t="str">
        <f>VLOOKUP(DataTable[[#This Row],[Country]],Market!B:C,2,FALSE)</f>
        <v>Europe</v>
      </c>
      <c r="F331" s="24">
        <v>250</v>
      </c>
      <c r="G331" s="24">
        <v>1315</v>
      </c>
      <c r="H331" s="24">
        <v>7</v>
      </c>
      <c r="I331" s="27">
        <v>263</v>
      </c>
      <c r="J331" s="24">
        <v>1841</v>
      </c>
      <c r="K331" s="24">
        <v>18.41</v>
      </c>
      <c r="L331" s="1" t="s">
        <v>57</v>
      </c>
      <c r="M331" s="24">
        <v>1822.59</v>
      </c>
      <c r="N331" s="24">
        <f t="shared" si="5"/>
        <v>507.58999999999992</v>
      </c>
      <c r="O331" t="str">
        <f>IF(DataTable[[#This Row],[Profit]]/DataTable[[#This Row],[COGS]]*100&gt;20,"Achived","Not Achived")</f>
        <v>Achived</v>
      </c>
      <c r="P331" s="25">
        <f>DataTable[[#This Row],[Profit]]/DataTable[[#This Row],[COGS]]</f>
        <v>0.38599999999999995</v>
      </c>
      <c r="Q331">
        <f>DataTable[[#This Row],[Manufacturing Price]]*DataTable[[#This Row],[Units Sold]]</f>
        <v>65750</v>
      </c>
      <c r="R331" s="26">
        <f>DataTable[[#This Row],[COGS]]-DataTable[[#This Row],[MC_US]]</f>
        <v>-64435</v>
      </c>
      <c r="S331" s="26">
        <f>IF(DataTable[[#This Row],[COGS-MC_US]]&gt;=0,DataTable[[#This Row],[Manufacturing Price]],DataTable[[#This Row],[COGS]]/DataTable[[#This Row],[Units Sold]])</f>
        <v>5</v>
      </c>
    </row>
    <row r="332" spans="1:19" ht="12.75" hidden="1" x14ac:dyDescent="0.2">
      <c r="A332" s="20">
        <v>41548</v>
      </c>
      <c r="B332" t="s">
        <v>396</v>
      </c>
      <c r="C332" t="s">
        <v>388</v>
      </c>
      <c r="D332" t="s">
        <v>305</v>
      </c>
      <c r="E332" t="str">
        <f>VLOOKUP(DataTable[[#This Row],[Country]],Market!B:C,2,FALSE)</f>
        <v>Europe</v>
      </c>
      <c r="F332" s="24">
        <v>120</v>
      </c>
      <c r="G332" s="24">
        <v>771160</v>
      </c>
      <c r="H332" s="24">
        <v>350</v>
      </c>
      <c r="I332" s="27">
        <v>2966</v>
      </c>
      <c r="J332" s="24">
        <v>1038100</v>
      </c>
      <c r="K332" s="24">
        <v>20762</v>
      </c>
      <c r="L332" s="1" t="s">
        <v>57</v>
      </c>
      <c r="M332" s="24">
        <v>1017338</v>
      </c>
      <c r="N332" s="24">
        <f t="shared" si="5"/>
        <v>246178</v>
      </c>
      <c r="O332" t="str">
        <f>IF(DataTable[[#This Row],[Profit]]/DataTable[[#This Row],[COGS]]*100&gt;20,"Achived","Not Achived")</f>
        <v>Achived</v>
      </c>
      <c r="P332" s="25">
        <f>DataTable[[#This Row],[Profit]]/DataTable[[#This Row],[COGS]]</f>
        <v>0.31923076923076921</v>
      </c>
      <c r="Q332">
        <f>DataTable[[#This Row],[Manufacturing Price]]*DataTable[[#This Row],[Units Sold]]</f>
        <v>355920</v>
      </c>
      <c r="R332" s="26">
        <f>DataTable[[#This Row],[COGS]]-DataTable[[#This Row],[MC_US]]</f>
        <v>415240</v>
      </c>
      <c r="S332" s="26">
        <f>IF(DataTable[[#This Row],[COGS-MC_US]]&gt;=0,DataTable[[#This Row],[Manufacturing Price]],DataTable[[#This Row],[COGS]]/DataTable[[#This Row],[Units Sold]])</f>
        <v>120</v>
      </c>
    </row>
    <row r="333" spans="1:19" ht="12.75" hidden="1" x14ac:dyDescent="0.2">
      <c r="A333" s="20">
        <v>41913</v>
      </c>
      <c r="B333" t="s">
        <v>396</v>
      </c>
      <c r="C333" t="s">
        <v>388</v>
      </c>
      <c r="D333" t="s">
        <v>305</v>
      </c>
      <c r="E333" t="str">
        <f>VLOOKUP(DataTable[[#This Row],[Country]],Market!B:C,2,FALSE)</f>
        <v>Europe</v>
      </c>
      <c r="F333" s="24">
        <v>120</v>
      </c>
      <c r="G333" s="24">
        <v>748020</v>
      </c>
      <c r="H333" s="24">
        <v>350</v>
      </c>
      <c r="I333" s="27">
        <v>2877</v>
      </c>
      <c r="J333" s="24">
        <v>1006950</v>
      </c>
      <c r="K333" s="24">
        <v>20139</v>
      </c>
      <c r="L333" s="1" t="s">
        <v>57</v>
      </c>
      <c r="M333" s="24">
        <v>986811</v>
      </c>
      <c r="N333" s="24">
        <f t="shared" si="5"/>
        <v>238791</v>
      </c>
      <c r="O333" t="str">
        <f>IF(DataTable[[#This Row],[Profit]]/DataTable[[#This Row],[COGS]]*100&gt;20,"Achived","Not Achived")</f>
        <v>Achived</v>
      </c>
      <c r="P333" s="25">
        <f>DataTable[[#This Row],[Profit]]/DataTable[[#This Row],[COGS]]</f>
        <v>0.31923076923076921</v>
      </c>
      <c r="Q333">
        <f>DataTable[[#This Row],[Manufacturing Price]]*DataTable[[#This Row],[Units Sold]]</f>
        <v>345240</v>
      </c>
      <c r="R333" s="26">
        <f>DataTable[[#This Row],[COGS]]-DataTable[[#This Row],[MC_US]]</f>
        <v>402780</v>
      </c>
      <c r="S333" s="26">
        <f>IF(DataTable[[#This Row],[COGS-MC_US]]&gt;=0,DataTable[[#This Row],[Manufacturing Price]],DataTable[[#This Row],[COGS]]/DataTable[[#This Row],[Units Sold]])</f>
        <v>120</v>
      </c>
    </row>
    <row r="334" spans="1:19" ht="12.75" hidden="1" x14ac:dyDescent="0.2">
      <c r="A334" s="20">
        <v>41913</v>
      </c>
      <c r="B334" t="s">
        <v>397</v>
      </c>
      <c r="C334" t="s">
        <v>388</v>
      </c>
      <c r="D334" t="s">
        <v>305</v>
      </c>
      <c r="E334" t="str">
        <f>VLOOKUP(DataTable[[#This Row],[Country]],Market!B:C,2,FALSE)</f>
        <v>Europe</v>
      </c>
      <c r="F334" s="24">
        <v>250</v>
      </c>
      <c r="G334" s="24">
        <v>748020</v>
      </c>
      <c r="H334" s="24">
        <v>350</v>
      </c>
      <c r="I334" s="27">
        <v>2877</v>
      </c>
      <c r="J334" s="24">
        <v>1006950</v>
      </c>
      <c r="K334" s="24">
        <v>20139</v>
      </c>
      <c r="L334" s="1" t="s">
        <v>57</v>
      </c>
      <c r="M334" s="24">
        <v>986811</v>
      </c>
      <c r="N334" s="24">
        <f t="shared" si="5"/>
        <v>238791</v>
      </c>
      <c r="O334" t="str">
        <f>IF(DataTable[[#This Row],[Profit]]/DataTable[[#This Row],[COGS]]*100&gt;20,"Achived","Not Achived")</f>
        <v>Achived</v>
      </c>
      <c r="P334" s="25">
        <f>DataTable[[#This Row],[Profit]]/DataTable[[#This Row],[COGS]]</f>
        <v>0.31923076923076921</v>
      </c>
      <c r="Q334">
        <f>DataTable[[#This Row],[Manufacturing Price]]*DataTable[[#This Row],[Units Sold]]</f>
        <v>719250</v>
      </c>
      <c r="R334" s="26">
        <f>DataTable[[#This Row],[COGS]]-DataTable[[#This Row],[MC_US]]</f>
        <v>28770</v>
      </c>
      <c r="S334" s="26">
        <f>IF(DataTable[[#This Row],[COGS-MC_US]]&gt;=0,DataTable[[#This Row],[Manufacturing Price]],DataTable[[#This Row],[COGS]]/DataTable[[#This Row],[Units Sold]])</f>
        <v>250</v>
      </c>
    </row>
    <row r="335" spans="1:19" ht="12.75" hidden="1" x14ac:dyDescent="0.2">
      <c r="A335" s="20">
        <v>41548</v>
      </c>
      <c r="B335" t="s">
        <v>398</v>
      </c>
      <c r="C335" t="s">
        <v>388</v>
      </c>
      <c r="D335" t="s">
        <v>305</v>
      </c>
      <c r="E335" t="str">
        <f>VLOOKUP(DataTable[[#This Row],[Country]],Market!B:C,2,FALSE)</f>
        <v>Europe</v>
      </c>
      <c r="F335" s="24">
        <v>260</v>
      </c>
      <c r="G335" s="24">
        <v>771160</v>
      </c>
      <c r="H335" s="24">
        <v>350</v>
      </c>
      <c r="I335" s="27">
        <v>2966</v>
      </c>
      <c r="J335" s="24">
        <v>1038100</v>
      </c>
      <c r="K335" s="24">
        <v>20762</v>
      </c>
      <c r="L335" s="1" t="s">
        <v>57</v>
      </c>
      <c r="M335" s="24">
        <v>1017338</v>
      </c>
      <c r="N335" s="24">
        <f t="shared" si="5"/>
        <v>246178</v>
      </c>
      <c r="O335" t="str">
        <f>IF(DataTable[[#This Row],[Profit]]/DataTable[[#This Row],[COGS]]*100&gt;20,"Achived","Not Achived")</f>
        <v>Achived</v>
      </c>
      <c r="P335" s="25">
        <f>DataTable[[#This Row],[Profit]]/DataTable[[#This Row],[COGS]]</f>
        <v>0.31923076923076921</v>
      </c>
      <c r="Q335">
        <f>DataTable[[#This Row],[Manufacturing Price]]*DataTable[[#This Row],[Units Sold]]</f>
        <v>771160</v>
      </c>
      <c r="R335" s="26">
        <f>DataTable[[#This Row],[COGS]]-DataTable[[#This Row],[MC_US]]</f>
        <v>0</v>
      </c>
      <c r="S335" s="26">
        <f>IF(DataTable[[#This Row],[COGS-MC_US]]&gt;=0,DataTable[[#This Row],[Manufacturing Price]],DataTable[[#This Row],[COGS]]/DataTable[[#This Row],[Units Sold]])</f>
        <v>260</v>
      </c>
    </row>
    <row r="336" spans="1:19" ht="12.75" hidden="1" x14ac:dyDescent="0.2">
      <c r="A336" s="20">
        <v>41730</v>
      </c>
      <c r="B336" t="s">
        <v>389</v>
      </c>
      <c r="C336" t="s">
        <v>388</v>
      </c>
      <c r="D336" t="s">
        <v>305</v>
      </c>
      <c r="E336" t="str">
        <f>VLOOKUP(DataTable[[#This Row],[Country]],Market!B:C,2,FALSE)</f>
        <v>Europe</v>
      </c>
      <c r="F336" s="24">
        <v>3</v>
      </c>
      <c r="G336" s="24">
        <v>25800</v>
      </c>
      <c r="H336" s="24">
        <v>20</v>
      </c>
      <c r="I336" s="27">
        <v>2580</v>
      </c>
      <c r="J336" s="24">
        <v>51600</v>
      </c>
      <c r="K336" s="24">
        <v>1548</v>
      </c>
      <c r="L336" s="1" t="s">
        <v>57</v>
      </c>
      <c r="M336" s="24">
        <v>50052</v>
      </c>
      <c r="N336" s="24">
        <f t="shared" si="5"/>
        <v>24252</v>
      </c>
      <c r="O336" t="str">
        <f>IF(DataTable[[#This Row],[Profit]]/DataTable[[#This Row],[COGS]]*100&gt;20,"Achived","Not Achived")</f>
        <v>Achived</v>
      </c>
      <c r="P336" s="25">
        <f>DataTable[[#This Row],[Profit]]/DataTable[[#This Row],[COGS]]</f>
        <v>0.94</v>
      </c>
      <c r="Q336">
        <f>DataTable[[#This Row],[Manufacturing Price]]*DataTable[[#This Row],[Units Sold]]</f>
        <v>7740</v>
      </c>
      <c r="R336" s="26">
        <f>DataTable[[#This Row],[COGS]]-DataTable[[#This Row],[MC_US]]</f>
        <v>18060</v>
      </c>
      <c r="S336" s="26">
        <f>IF(DataTable[[#This Row],[COGS-MC_US]]&gt;=0,DataTable[[#This Row],[Manufacturing Price]],DataTable[[#This Row],[COGS]]/DataTable[[#This Row],[Units Sold]])</f>
        <v>3</v>
      </c>
    </row>
    <row r="337" spans="1:19" ht="12.75" hidden="1" x14ac:dyDescent="0.2">
      <c r="A337" s="20">
        <v>41671</v>
      </c>
      <c r="B337" t="s">
        <v>391</v>
      </c>
      <c r="C337" t="s">
        <v>388</v>
      </c>
      <c r="D337" t="s">
        <v>305</v>
      </c>
      <c r="E337" t="str">
        <f>VLOOKUP(DataTable[[#This Row],[Country]],Market!B:C,2,FALSE)</f>
        <v>Europe</v>
      </c>
      <c r="F337" s="24">
        <v>5</v>
      </c>
      <c r="G337" s="24">
        <v>9790</v>
      </c>
      <c r="H337" s="24">
        <v>7</v>
      </c>
      <c r="I337" s="27">
        <v>1958</v>
      </c>
      <c r="J337" s="24">
        <v>13706</v>
      </c>
      <c r="K337" s="24">
        <v>411.18</v>
      </c>
      <c r="L337" s="1" t="s">
        <v>57</v>
      </c>
      <c r="M337" s="24">
        <v>13294.82</v>
      </c>
      <c r="N337" s="24">
        <f t="shared" si="5"/>
        <v>3504.8199999999997</v>
      </c>
      <c r="O337" t="str">
        <f>IF(DataTable[[#This Row],[Profit]]/DataTable[[#This Row],[COGS]]*100&gt;20,"Achived","Not Achived")</f>
        <v>Achived</v>
      </c>
      <c r="P337" s="25">
        <f>DataTable[[#This Row],[Profit]]/DataTable[[#This Row],[COGS]]</f>
        <v>0.35799999999999998</v>
      </c>
      <c r="Q337">
        <f>DataTable[[#This Row],[Manufacturing Price]]*DataTable[[#This Row],[Units Sold]]</f>
        <v>9790</v>
      </c>
      <c r="R337" s="26">
        <f>DataTable[[#This Row],[COGS]]-DataTable[[#This Row],[MC_US]]</f>
        <v>0</v>
      </c>
      <c r="S337" s="26">
        <f>IF(DataTable[[#This Row],[COGS-MC_US]]&gt;=0,DataTable[[#This Row],[Manufacturing Price]],DataTable[[#This Row],[COGS]]/DataTable[[#This Row],[Units Sold]])</f>
        <v>5</v>
      </c>
    </row>
    <row r="338" spans="1:19" ht="12.75" hidden="1" x14ac:dyDescent="0.2">
      <c r="A338" s="20">
        <v>41518</v>
      </c>
      <c r="B338" t="s">
        <v>391</v>
      </c>
      <c r="C338" t="s">
        <v>388</v>
      </c>
      <c r="D338" t="s">
        <v>305</v>
      </c>
      <c r="E338" t="str">
        <f>VLOOKUP(DataTable[[#This Row],[Country]],Market!B:C,2,FALSE)</f>
        <v>Europe</v>
      </c>
      <c r="F338" s="24">
        <v>5</v>
      </c>
      <c r="G338" s="24">
        <v>467220</v>
      </c>
      <c r="H338" s="24">
        <v>350</v>
      </c>
      <c r="I338" s="27">
        <v>1797</v>
      </c>
      <c r="J338" s="24">
        <v>628950</v>
      </c>
      <c r="K338" s="24">
        <v>18868.5</v>
      </c>
      <c r="L338" s="1" t="s">
        <v>57</v>
      </c>
      <c r="M338" s="24">
        <v>610081.5</v>
      </c>
      <c r="N338" s="24">
        <f t="shared" si="5"/>
        <v>142861.5</v>
      </c>
      <c r="O338" t="str">
        <f>IF(DataTable[[#This Row],[Profit]]/DataTable[[#This Row],[COGS]]*100&gt;20,"Achived","Not Achived")</f>
        <v>Achived</v>
      </c>
      <c r="P338" s="25">
        <f>DataTable[[#This Row],[Profit]]/DataTable[[#This Row],[COGS]]</f>
        <v>0.30576923076923079</v>
      </c>
      <c r="Q338">
        <f>DataTable[[#This Row],[Manufacturing Price]]*DataTable[[#This Row],[Units Sold]]</f>
        <v>8985</v>
      </c>
      <c r="R338" s="26">
        <f>DataTable[[#This Row],[COGS]]-DataTable[[#This Row],[MC_US]]</f>
        <v>458235</v>
      </c>
      <c r="S338" s="26">
        <f>IF(DataTable[[#This Row],[COGS-MC_US]]&gt;=0,DataTable[[#This Row],[Manufacturing Price]],DataTable[[#This Row],[COGS]]/DataTable[[#This Row],[Units Sold]])</f>
        <v>5</v>
      </c>
    </row>
    <row r="339" spans="1:19" ht="12.75" hidden="1" x14ac:dyDescent="0.2">
      <c r="A339" s="20">
        <v>41883</v>
      </c>
      <c r="B339" t="s">
        <v>398</v>
      </c>
      <c r="C339" t="s">
        <v>388</v>
      </c>
      <c r="D339" t="s">
        <v>305</v>
      </c>
      <c r="E339" t="str">
        <f>VLOOKUP(DataTable[[#This Row],[Country]],Market!B:C,2,FALSE)</f>
        <v>Europe</v>
      </c>
      <c r="F339" s="24">
        <v>260</v>
      </c>
      <c r="G339" s="24">
        <v>495820</v>
      </c>
      <c r="H339" s="24">
        <v>350</v>
      </c>
      <c r="I339" s="27">
        <v>1907</v>
      </c>
      <c r="J339" s="24">
        <v>667450</v>
      </c>
      <c r="K339" s="24">
        <v>26698</v>
      </c>
      <c r="L339" s="1" t="s">
        <v>57</v>
      </c>
      <c r="M339" s="24">
        <v>640752</v>
      </c>
      <c r="N339" s="24">
        <f t="shared" si="5"/>
        <v>144932</v>
      </c>
      <c r="O339" t="str">
        <f>IF(DataTable[[#This Row],[Profit]]/DataTable[[#This Row],[COGS]]*100&gt;20,"Achived","Not Achived")</f>
        <v>Achived</v>
      </c>
      <c r="P339" s="25">
        <f>DataTable[[#This Row],[Profit]]/DataTable[[#This Row],[COGS]]</f>
        <v>0.29230769230769232</v>
      </c>
      <c r="Q339">
        <f>DataTable[[#This Row],[Manufacturing Price]]*DataTable[[#This Row],[Units Sold]]</f>
        <v>495820</v>
      </c>
      <c r="R339" s="26">
        <f>DataTable[[#This Row],[COGS]]-DataTable[[#This Row],[MC_US]]</f>
        <v>0</v>
      </c>
      <c r="S339" s="26">
        <f>IF(DataTable[[#This Row],[COGS-MC_US]]&gt;=0,DataTable[[#This Row],[Manufacturing Price]],DataTable[[#This Row],[COGS]]/DataTable[[#This Row],[Units Sold]])</f>
        <v>260</v>
      </c>
    </row>
    <row r="340" spans="1:19" ht="12.75" hidden="1" x14ac:dyDescent="0.2">
      <c r="A340" s="20">
        <v>41548</v>
      </c>
      <c r="B340" t="s">
        <v>391</v>
      </c>
      <c r="C340" t="s">
        <v>388</v>
      </c>
      <c r="D340" t="s">
        <v>305</v>
      </c>
      <c r="E340" t="str">
        <f>VLOOKUP(DataTable[[#This Row],[Country]],Market!B:C,2,FALSE)</f>
        <v>Europe</v>
      </c>
      <c r="F340" s="24">
        <v>5</v>
      </c>
      <c r="G340" s="24">
        <v>5795</v>
      </c>
      <c r="H340" s="24">
        <v>7</v>
      </c>
      <c r="I340" s="27">
        <v>1159</v>
      </c>
      <c r="J340" s="24">
        <v>8113</v>
      </c>
      <c r="K340" s="24">
        <v>405.65</v>
      </c>
      <c r="L340" s="1" t="s">
        <v>124</v>
      </c>
      <c r="M340" s="24">
        <v>7707.35</v>
      </c>
      <c r="N340" s="24">
        <f t="shared" si="5"/>
        <v>1912.3500000000004</v>
      </c>
      <c r="O340" t="str">
        <f>IF(DataTable[[#This Row],[Profit]]/DataTable[[#This Row],[COGS]]*100&gt;20,"Achived","Not Achived")</f>
        <v>Achived</v>
      </c>
      <c r="P340" s="25">
        <f>DataTable[[#This Row],[Profit]]/DataTable[[#This Row],[COGS]]</f>
        <v>0.33000000000000007</v>
      </c>
      <c r="Q340">
        <f>DataTable[[#This Row],[Manufacturing Price]]*DataTable[[#This Row],[Units Sold]]</f>
        <v>5795</v>
      </c>
      <c r="R340" s="26">
        <f>DataTable[[#This Row],[COGS]]-DataTable[[#This Row],[MC_US]]</f>
        <v>0</v>
      </c>
      <c r="S340" s="26">
        <f>IF(DataTable[[#This Row],[COGS-MC_US]]&gt;=0,DataTable[[#This Row],[Manufacturing Price]],DataTable[[#This Row],[COGS]]/DataTable[[#This Row],[Units Sold]])</f>
        <v>5</v>
      </c>
    </row>
    <row r="341" spans="1:19" ht="12.75" hidden="1" x14ac:dyDescent="0.2">
      <c r="A341" s="20">
        <v>41640</v>
      </c>
      <c r="B341" t="s">
        <v>395</v>
      </c>
      <c r="C341" t="s">
        <v>388</v>
      </c>
      <c r="D341" t="s">
        <v>305</v>
      </c>
      <c r="E341" t="str">
        <f>VLOOKUP(DataTable[[#This Row],[Country]],Market!B:C,2,FALSE)</f>
        <v>Europe</v>
      </c>
      <c r="F341" s="24">
        <v>10</v>
      </c>
      <c r="G341" s="24">
        <v>6860</v>
      </c>
      <c r="H341" s="24">
        <v>7</v>
      </c>
      <c r="I341" s="27">
        <v>1372</v>
      </c>
      <c r="J341" s="24">
        <v>9604</v>
      </c>
      <c r="K341" s="24">
        <v>480.2</v>
      </c>
      <c r="L341" s="1" t="s">
        <v>124</v>
      </c>
      <c r="M341" s="24">
        <v>9123.7999999999993</v>
      </c>
      <c r="N341" s="24">
        <f t="shared" si="5"/>
        <v>2263.7999999999993</v>
      </c>
      <c r="O341" t="str">
        <f>IF(DataTable[[#This Row],[Profit]]/DataTable[[#This Row],[COGS]]*100&gt;20,"Achived","Not Achived")</f>
        <v>Achived</v>
      </c>
      <c r="P341" s="25">
        <f>DataTable[[#This Row],[Profit]]/DataTable[[#This Row],[COGS]]</f>
        <v>0.3299999999999999</v>
      </c>
      <c r="Q341">
        <f>DataTable[[#This Row],[Manufacturing Price]]*DataTable[[#This Row],[Units Sold]]</f>
        <v>13720</v>
      </c>
      <c r="R341" s="26">
        <f>DataTable[[#This Row],[COGS]]-DataTable[[#This Row],[MC_US]]</f>
        <v>-6860</v>
      </c>
      <c r="S341" s="26">
        <f>IF(DataTable[[#This Row],[COGS-MC_US]]&gt;=0,DataTable[[#This Row],[Manufacturing Price]],DataTable[[#This Row],[COGS]]/DataTable[[#This Row],[Units Sold]])</f>
        <v>5</v>
      </c>
    </row>
    <row r="342" spans="1:19" ht="12.75" hidden="1" x14ac:dyDescent="0.2">
      <c r="A342" s="20">
        <v>41548</v>
      </c>
      <c r="B342" t="s">
        <v>398</v>
      </c>
      <c r="C342" t="s">
        <v>388</v>
      </c>
      <c r="D342" t="s">
        <v>305</v>
      </c>
      <c r="E342" t="str">
        <f>VLOOKUP(DataTable[[#This Row],[Country]],Market!B:C,2,FALSE)</f>
        <v>Europe</v>
      </c>
      <c r="F342" s="24">
        <v>260</v>
      </c>
      <c r="G342" s="24">
        <v>5795</v>
      </c>
      <c r="H342" s="24">
        <v>7</v>
      </c>
      <c r="I342" s="27">
        <v>1159</v>
      </c>
      <c r="J342" s="24">
        <v>8113</v>
      </c>
      <c r="K342" s="24">
        <v>405.65</v>
      </c>
      <c r="L342" s="1" t="s">
        <v>124</v>
      </c>
      <c r="M342" s="24">
        <v>7707.35</v>
      </c>
      <c r="N342" s="24">
        <f t="shared" si="5"/>
        <v>1912.3500000000004</v>
      </c>
      <c r="O342" t="str">
        <f>IF(DataTable[[#This Row],[Profit]]/DataTable[[#This Row],[COGS]]*100&gt;20,"Achived","Not Achived")</f>
        <v>Achived</v>
      </c>
      <c r="P342" s="25">
        <f>DataTable[[#This Row],[Profit]]/DataTable[[#This Row],[COGS]]</f>
        <v>0.33000000000000007</v>
      </c>
      <c r="Q342">
        <f>DataTable[[#This Row],[Manufacturing Price]]*DataTable[[#This Row],[Units Sold]]</f>
        <v>301340</v>
      </c>
      <c r="R342" s="26">
        <f>DataTable[[#This Row],[COGS]]-DataTable[[#This Row],[MC_US]]</f>
        <v>-295545</v>
      </c>
      <c r="S342" s="26">
        <f>IF(DataTable[[#This Row],[COGS-MC_US]]&gt;=0,DataTable[[#This Row],[Manufacturing Price]],DataTable[[#This Row],[COGS]]/DataTable[[#This Row],[Units Sold]])</f>
        <v>5</v>
      </c>
    </row>
    <row r="343" spans="1:19" ht="12.75" hidden="1" x14ac:dyDescent="0.2">
      <c r="A343" s="20">
        <v>41579</v>
      </c>
      <c r="B343" t="s">
        <v>389</v>
      </c>
      <c r="C343" t="s">
        <v>388</v>
      </c>
      <c r="D343" t="s">
        <v>305</v>
      </c>
      <c r="E343" t="str">
        <f>VLOOKUP(DataTable[[#This Row],[Country]],Market!B:C,2,FALSE)</f>
        <v>Europe</v>
      </c>
      <c r="F343" s="24">
        <v>3</v>
      </c>
      <c r="G343" s="24">
        <v>5080</v>
      </c>
      <c r="H343" s="24">
        <v>7</v>
      </c>
      <c r="I343" s="27">
        <v>1016</v>
      </c>
      <c r="J343" s="24">
        <v>7112</v>
      </c>
      <c r="K343" s="24">
        <v>355.6</v>
      </c>
      <c r="L343" s="1" t="s">
        <v>124</v>
      </c>
      <c r="M343" s="24">
        <v>6756.4</v>
      </c>
      <c r="N343" s="24">
        <f t="shared" si="5"/>
        <v>1676.3999999999996</v>
      </c>
      <c r="O343" t="str">
        <f>IF(DataTable[[#This Row],[Profit]]/DataTable[[#This Row],[COGS]]*100&gt;20,"Achived","Not Achived")</f>
        <v>Achived</v>
      </c>
      <c r="P343" s="25">
        <f>DataTable[[#This Row],[Profit]]/DataTable[[#This Row],[COGS]]</f>
        <v>0.3299999999999999</v>
      </c>
      <c r="Q343">
        <f>DataTable[[#This Row],[Manufacturing Price]]*DataTable[[#This Row],[Units Sold]]</f>
        <v>3048</v>
      </c>
      <c r="R343" s="26">
        <f>DataTable[[#This Row],[COGS]]-DataTable[[#This Row],[MC_US]]</f>
        <v>2032</v>
      </c>
      <c r="S343" s="26">
        <f>IF(DataTable[[#This Row],[COGS-MC_US]]&gt;=0,DataTable[[#This Row],[Manufacturing Price]],DataTable[[#This Row],[COGS]]/DataTable[[#This Row],[Units Sold]])</f>
        <v>3</v>
      </c>
    </row>
    <row r="344" spans="1:19" ht="12.75" hidden="1" x14ac:dyDescent="0.2">
      <c r="A344" s="20">
        <v>41579</v>
      </c>
      <c r="B344" t="s">
        <v>397</v>
      </c>
      <c r="C344" t="s">
        <v>388</v>
      </c>
      <c r="D344" t="s">
        <v>305</v>
      </c>
      <c r="E344" t="str">
        <f>VLOOKUP(DataTable[[#This Row],[Country]],Market!B:C,2,FALSE)</f>
        <v>Europe</v>
      </c>
      <c r="F344" s="24">
        <v>250</v>
      </c>
      <c r="G344" s="24">
        <v>22970</v>
      </c>
      <c r="H344" s="24">
        <v>20</v>
      </c>
      <c r="I344" s="27">
        <v>2297</v>
      </c>
      <c r="J344" s="24">
        <v>45940</v>
      </c>
      <c r="K344" s="24">
        <v>2297</v>
      </c>
      <c r="L344" s="1" t="s">
        <v>124</v>
      </c>
      <c r="M344" s="24">
        <v>43643</v>
      </c>
      <c r="N344" s="24">
        <f t="shared" si="5"/>
        <v>20673</v>
      </c>
      <c r="O344" t="str">
        <f>IF(DataTable[[#This Row],[Profit]]/DataTable[[#This Row],[COGS]]*100&gt;20,"Achived","Not Achived")</f>
        <v>Achived</v>
      </c>
      <c r="P344" s="25">
        <f>DataTable[[#This Row],[Profit]]/DataTable[[#This Row],[COGS]]</f>
        <v>0.9</v>
      </c>
      <c r="Q344">
        <f>DataTable[[#This Row],[Manufacturing Price]]*DataTable[[#This Row],[Units Sold]]</f>
        <v>574250</v>
      </c>
      <c r="R344" s="26">
        <f>DataTable[[#This Row],[COGS]]-DataTable[[#This Row],[MC_US]]</f>
        <v>-551280</v>
      </c>
      <c r="S344" s="26">
        <f>IF(DataTable[[#This Row],[COGS-MC_US]]&gt;=0,DataTable[[#This Row],[Manufacturing Price]],DataTable[[#This Row],[COGS]]/DataTable[[#This Row],[Units Sold]])</f>
        <v>10</v>
      </c>
    </row>
    <row r="345" spans="1:19" ht="12.75" hidden="1" x14ac:dyDescent="0.2">
      <c r="A345" s="20">
        <v>41671</v>
      </c>
      <c r="B345" t="s">
        <v>398</v>
      </c>
      <c r="C345" t="s">
        <v>388</v>
      </c>
      <c r="D345" t="s">
        <v>305</v>
      </c>
      <c r="E345" t="str">
        <f>VLOOKUP(DataTable[[#This Row],[Country]],Market!B:C,2,FALSE)</f>
        <v>Europe</v>
      </c>
      <c r="F345" s="24">
        <v>260</v>
      </c>
      <c r="G345" s="24">
        <v>351000</v>
      </c>
      <c r="H345" s="24">
        <v>350</v>
      </c>
      <c r="I345" s="27">
        <v>1350</v>
      </c>
      <c r="J345" s="24">
        <v>472500</v>
      </c>
      <c r="K345" s="24">
        <v>23625</v>
      </c>
      <c r="L345" s="1" t="s">
        <v>124</v>
      </c>
      <c r="M345" s="24">
        <v>448875</v>
      </c>
      <c r="N345" s="24">
        <f t="shared" si="5"/>
        <v>97875</v>
      </c>
      <c r="O345" t="str">
        <f>IF(DataTable[[#This Row],[Profit]]/DataTable[[#This Row],[COGS]]*100&gt;20,"Achived","Not Achived")</f>
        <v>Achived</v>
      </c>
      <c r="P345" s="25">
        <f>DataTable[[#This Row],[Profit]]/DataTable[[#This Row],[COGS]]</f>
        <v>0.27884615384615385</v>
      </c>
      <c r="Q345">
        <f>DataTable[[#This Row],[Manufacturing Price]]*DataTable[[#This Row],[Units Sold]]</f>
        <v>351000</v>
      </c>
      <c r="R345" s="26">
        <f>DataTable[[#This Row],[COGS]]-DataTable[[#This Row],[MC_US]]</f>
        <v>0</v>
      </c>
      <c r="S345" s="26">
        <f>IF(DataTable[[#This Row],[COGS-MC_US]]&gt;=0,DataTable[[#This Row],[Manufacturing Price]],DataTable[[#This Row],[COGS]]/DataTable[[#This Row],[Units Sold]])</f>
        <v>260</v>
      </c>
    </row>
    <row r="346" spans="1:19" ht="12.75" hidden="1" x14ac:dyDescent="0.2">
      <c r="A346" s="20">
        <v>41760</v>
      </c>
      <c r="B346" t="s">
        <v>391</v>
      </c>
      <c r="C346" t="s">
        <v>388</v>
      </c>
      <c r="D346" t="s">
        <v>305</v>
      </c>
      <c r="E346" t="str">
        <f>VLOOKUP(DataTable[[#This Row],[Country]],Market!B:C,2,FALSE)</f>
        <v>Europe</v>
      </c>
      <c r="F346" s="24">
        <v>5</v>
      </c>
      <c r="G346" s="24">
        <v>379600</v>
      </c>
      <c r="H346" s="24">
        <v>350</v>
      </c>
      <c r="I346" s="27">
        <v>1460</v>
      </c>
      <c r="J346" s="24">
        <v>511000</v>
      </c>
      <c r="K346" s="24">
        <v>30660</v>
      </c>
      <c r="L346" s="1" t="s">
        <v>124</v>
      </c>
      <c r="M346" s="24">
        <v>480340</v>
      </c>
      <c r="N346" s="24">
        <f t="shared" si="5"/>
        <v>100740</v>
      </c>
      <c r="O346" t="str">
        <f>IF(DataTable[[#This Row],[Profit]]/DataTable[[#This Row],[COGS]]*100&gt;20,"Achived","Not Achived")</f>
        <v>Achived</v>
      </c>
      <c r="P346" s="25">
        <f>DataTable[[#This Row],[Profit]]/DataTable[[#This Row],[COGS]]</f>
        <v>0.26538461538461539</v>
      </c>
      <c r="Q346">
        <f>DataTable[[#This Row],[Manufacturing Price]]*DataTable[[#This Row],[Units Sold]]</f>
        <v>7300</v>
      </c>
      <c r="R346" s="26">
        <f>DataTable[[#This Row],[COGS]]-DataTable[[#This Row],[MC_US]]</f>
        <v>372300</v>
      </c>
      <c r="S346" s="26">
        <f>IF(DataTable[[#This Row],[COGS-MC_US]]&gt;=0,DataTable[[#This Row],[Manufacturing Price]],DataTable[[#This Row],[COGS]]/DataTable[[#This Row],[Units Sold]])</f>
        <v>5</v>
      </c>
    </row>
    <row r="347" spans="1:19" ht="12.75" hidden="1" x14ac:dyDescent="0.2">
      <c r="A347" s="20">
        <v>41852</v>
      </c>
      <c r="B347" t="s">
        <v>396</v>
      </c>
      <c r="C347" t="s">
        <v>388</v>
      </c>
      <c r="D347" t="s">
        <v>305</v>
      </c>
      <c r="E347" t="str">
        <f>VLOOKUP(DataTable[[#This Row],[Country]],Market!B:C,2,FALSE)</f>
        <v>Europe</v>
      </c>
      <c r="F347" s="24">
        <v>120</v>
      </c>
      <c r="G347" s="24">
        <v>10010</v>
      </c>
      <c r="H347" s="24">
        <v>20</v>
      </c>
      <c r="I347" s="27">
        <v>1001</v>
      </c>
      <c r="J347" s="24">
        <v>20020</v>
      </c>
      <c r="K347" s="24">
        <v>1201.2</v>
      </c>
      <c r="L347" s="1" t="s">
        <v>124</v>
      </c>
      <c r="M347" s="24">
        <v>18818.8</v>
      </c>
      <c r="N347" s="24">
        <f t="shared" si="5"/>
        <v>8808.7999999999993</v>
      </c>
      <c r="O347" t="str">
        <f>IF(DataTable[[#This Row],[Profit]]/DataTable[[#This Row],[COGS]]*100&gt;20,"Achived","Not Achived")</f>
        <v>Achived</v>
      </c>
      <c r="P347" s="25">
        <f>DataTable[[#This Row],[Profit]]/DataTable[[#This Row],[COGS]]</f>
        <v>0.87999999999999989</v>
      </c>
      <c r="Q347">
        <f>DataTable[[#This Row],[Manufacturing Price]]*DataTable[[#This Row],[Units Sold]]</f>
        <v>120120</v>
      </c>
      <c r="R347" s="26">
        <f>DataTable[[#This Row],[COGS]]-DataTable[[#This Row],[MC_US]]</f>
        <v>-110110</v>
      </c>
      <c r="S347" s="26">
        <f>IF(DataTable[[#This Row],[COGS-MC_US]]&gt;=0,DataTable[[#This Row],[Manufacturing Price]],DataTable[[#This Row],[COGS]]/DataTable[[#This Row],[Units Sold]])</f>
        <v>10</v>
      </c>
    </row>
    <row r="348" spans="1:19" ht="12.75" hidden="1" x14ac:dyDescent="0.2">
      <c r="A348" s="20">
        <v>41609</v>
      </c>
      <c r="B348" t="s">
        <v>395</v>
      </c>
      <c r="C348" t="s">
        <v>388</v>
      </c>
      <c r="D348" t="s">
        <v>305</v>
      </c>
      <c r="E348" t="str">
        <f>VLOOKUP(DataTable[[#This Row],[Country]],Market!B:C,2,FALSE)</f>
        <v>Europe</v>
      </c>
      <c r="F348" s="24">
        <v>10</v>
      </c>
      <c r="G348" s="24">
        <v>10625</v>
      </c>
      <c r="H348" s="24">
        <v>7</v>
      </c>
      <c r="I348" s="27">
        <v>2125</v>
      </c>
      <c r="J348" s="24">
        <v>14875</v>
      </c>
      <c r="K348" s="24">
        <v>1041.25</v>
      </c>
      <c r="L348" s="1" t="s">
        <v>124</v>
      </c>
      <c r="M348" s="24">
        <v>13833.75</v>
      </c>
      <c r="N348" s="24">
        <f t="shared" si="5"/>
        <v>3208.75</v>
      </c>
      <c r="O348" t="str">
        <f>IF(DataTable[[#This Row],[Profit]]/DataTable[[#This Row],[COGS]]*100&gt;20,"Achived","Not Achived")</f>
        <v>Achived</v>
      </c>
      <c r="P348" s="25">
        <f>DataTable[[#This Row],[Profit]]/DataTable[[#This Row],[COGS]]</f>
        <v>0.30199999999999999</v>
      </c>
      <c r="Q348">
        <f>DataTable[[#This Row],[Manufacturing Price]]*DataTable[[#This Row],[Units Sold]]</f>
        <v>21250</v>
      </c>
      <c r="R348" s="26">
        <f>DataTable[[#This Row],[COGS]]-DataTable[[#This Row],[MC_US]]</f>
        <v>-10625</v>
      </c>
      <c r="S348" s="26">
        <f>IF(DataTable[[#This Row],[COGS-MC_US]]&gt;=0,DataTable[[#This Row],[Manufacturing Price]],DataTable[[#This Row],[COGS]]/DataTable[[#This Row],[Units Sold]])</f>
        <v>5</v>
      </c>
    </row>
    <row r="349" spans="1:19" ht="12.75" hidden="1" x14ac:dyDescent="0.2">
      <c r="A349" s="20">
        <v>41609</v>
      </c>
      <c r="B349" t="s">
        <v>396</v>
      </c>
      <c r="C349" t="s">
        <v>388</v>
      </c>
      <c r="D349" t="s">
        <v>305</v>
      </c>
      <c r="E349" t="str">
        <f>VLOOKUP(DataTable[[#This Row],[Country]],Market!B:C,2,FALSE)</f>
        <v>Europe</v>
      </c>
      <c r="F349" s="24">
        <v>120</v>
      </c>
      <c r="G349" s="24">
        <v>5880</v>
      </c>
      <c r="H349" s="24">
        <v>20</v>
      </c>
      <c r="I349" s="27">
        <v>588</v>
      </c>
      <c r="J349" s="24">
        <v>11760</v>
      </c>
      <c r="K349" s="24">
        <v>823.2</v>
      </c>
      <c r="L349" s="1" t="s">
        <v>124</v>
      </c>
      <c r="M349" s="24">
        <v>10936.8</v>
      </c>
      <c r="N349" s="24">
        <f t="shared" si="5"/>
        <v>5056.7999999999993</v>
      </c>
      <c r="O349" t="str">
        <f>IF(DataTable[[#This Row],[Profit]]/DataTable[[#This Row],[COGS]]*100&gt;20,"Achived","Not Achived")</f>
        <v>Achived</v>
      </c>
      <c r="P349" s="25">
        <f>DataTable[[#This Row],[Profit]]/DataTable[[#This Row],[COGS]]</f>
        <v>0.85999999999999988</v>
      </c>
      <c r="Q349">
        <f>DataTable[[#This Row],[Manufacturing Price]]*DataTable[[#This Row],[Units Sold]]</f>
        <v>70560</v>
      </c>
      <c r="R349" s="26">
        <f>DataTable[[#This Row],[COGS]]-DataTable[[#This Row],[MC_US]]</f>
        <v>-64680</v>
      </c>
      <c r="S349" s="26">
        <f>IF(DataTable[[#This Row],[COGS-MC_US]]&gt;=0,DataTable[[#This Row],[Manufacturing Price]],DataTable[[#This Row],[COGS]]/DataTable[[#This Row],[Units Sold]])</f>
        <v>10</v>
      </c>
    </row>
    <row r="350" spans="1:19" ht="12.75" hidden="1" x14ac:dyDescent="0.2">
      <c r="A350" s="20">
        <v>41821</v>
      </c>
      <c r="B350" t="s">
        <v>391</v>
      </c>
      <c r="C350" t="s">
        <v>388</v>
      </c>
      <c r="D350" t="s">
        <v>305</v>
      </c>
      <c r="E350" t="str">
        <f>VLOOKUP(DataTable[[#This Row],[Country]],Market!B:C,2,FALSE)</f>
        <v>Europe</v>
      </c>
      <c r="F350" s="24">
        <v>5</v>
      </c>
      <c r="G350" s="24">
        <v>6450</v>
      </c>
      <c r="H350" s="24">
        <v>20</v>
      </c>
      <c r="I350" s="27">
        <v>645</v>
      </c>
      <c r="J350" s="24">
        <v>12900</v>
      </c>
      <c r="K350" s="24">
        <v>1032</v>
      </c>
      <c r="L350" s="1" t="s">
        <v>124</v>
      </c>
      <c r="M350" s="24">
        <v>11868</v>
      </c>
      <c r="N350" s="24">
        <f t="shared" si="5"/>
        <v>5418</v>
      </c>
      <c r="O350" t="str">
        <f>IF(DataTable[[#This Row],[Profit]]/DataTable[[#This Row],[COGS]]*100&gt;20,"Achived","Not Achived")</f>
        <v>Achived</v>
      </c>
      <c r="P350" s="25">
        <f>DataTable[[#This Row],[Profit]]/DataTable[[#This Row],[COGS]]</f>
        <v>0.84</v>
      </c>
      <c r="Q350">
        <f>DataTable[[#This Row],[Manufacturing Price]]*DataTable[[#This Row],[Units Sold]]</f>
        <v>3225</v>
      </c>
      <c r="R350" s="26">
        <f>DataTable[[#This Row],[COGS]]-DataTable[[#This Row],[MC_US]]</f>
        <v>3225</v>
      </c>
      <c r="S350" s="26">
        <f>IF(DataTable[[#This Row],[COGS-MC_US]]&gt;=0,DataTable[[#This Row],[Manufacturing Price]],DataTable[[#This Row],[COGS]]/DataTable[[#This Row],[Units Sold]])</f>
        <v>5</v>
      </c>
    </row>
    <row r="351" spans="1:19" ht="12.75" hidden="1" x14ac:dyDescent="0.2">
      <c r="A351" s="20">
        <v>41730</v>
      </c>
      <c r="B351" t="s">
        <v>395</v>
      </c>
      <c r="C351" t="s">
        <v>388</v>
      </c>
      <c r="D351" t="s">
        <v>305</v>
      </c>
      <c r="E351" t="str">
        <f>VLOOKUP(DataTable[[#This Row],[Country]],Market!B:C,2,FALSE)</f>
        <v>Europe</v>
      </c>
      <c r="F351" s="24">
        <v>10</v>
      </c>
      <c r="G351" s="24">
        <v>6295</v>
      </c>
      <c r="H351" s="24">
        <v>7</v>
      </c>
      <c r="I351" s="27">
        <v>1259</v>
      </c>
      <c r="J351" s="24">
        <v>8813</v>
      </c>
      <c r="K351" s="24">
        <v>705.04</v>
      </c>
      <c r="L351" s="1" t="s">
        <v>124</v>
      </c>
      <c r="M351" s="24">
        <v>8107.96</v>
      </c>
      <c r="N351" s="24">
        <f t="shared" si="5"/>
        <v>1812.96</v>
      </c>
      <c r="O351" t="str">
        <f>IF(DataTable[[#This Row],[Profit]]/DataTable[[#This Row],[COGS]]*100&gt;20,"Achived","Not Achived")</f>
        <v>Achived</v>
      </c>
      <c r="P351" s="25">
        <f>DataTable[[#This Row],[Profit]]/DataTable[[#This Row],[COGS]]</f>
        <v>0.28799999999999998</v>
      </c>
      <c r="Q351">
        <f>DataTable[[#This Row],[Manufacturing Price]]*DataTable[[#This Row],[Units Sold]]</f>
        <v>12590</v>
      </c>
      <c r="R351" s="26">
        <f>DataTable[[#This Row],[COGS]]-DataTable[[#This Row],[MC_US]]</f>
        <v>-6295</v>
      </c>
      <c r="S351" s="26">
        <f>IF(DataTable[[#This Row],[COGS-MC_US]]&gt;=0,DataTable[[#This Row],[Manufacturing Price]],DataTable[[#This Row],[COGS]]/DataTable[[#This Row],[Units Sold]])</f>
        <v>5</v>
      </c>
    </row>
    <row r="352" spans="1:19" ht="12.75" hidden="1" x14ac:dyDescent="0.2">
      <c r="A352" s="20">
        <v>41760</v>
      </c>
      <c r="B352" t="s">
        <v>395</v>
      </c>
      <c r="C352" t="s">
        <v>388</v>
      </c>
      <c r="D352" t="s">
        <v>305</v>
      </c>
      <c r="E352" t="str">
        <f>VLOOKUP(DataTable[[#This Row],[Country]],Market!B:C,2,FALSE)</f>
        <v>Europe</v>
      </c>
      <c r="F352" s="24">
        <v>10</v>
      </c>
      <c r="G352" s="24">
        <v>5475</v>
      </c>
      <c r="H352" s="24">
        <v>7</v>
      </c>
      <c r="I352" s="27">
        <v>1095</v>
      </c>
      <c r="J352" s="24">
        <v>7665</v>
      </c>
      <c r="K352" s="24">
        <v>613.20000000000005</v>
      </c>
      <c r="L352" s="1" t="s">
        <v>124</v>
      </c>
      <c r="M352" s="24">
        <v>7051.8</v>
      </c>
      <c r="N352" s="24">
        <f t="shared" si="5"/>
        <v>1576.8000000000002</v>
      </c>
      <c r="O352" t="str">
        <f>IF(DataTable[[#This Row],[Profit]]/DataTable[[#This Row],[COGS]]*100&gt;20,"Achived","Not Achived")</f>
        <v>Achived</v>
      </c>
      <c r="P352" s="25">
        <f>DataTable[[#This Row],[Profit]]/DataTable[[#This Row],[COGS]]</f>
        <v>0.28800000000000003</v>
      </c>
      <c r="Q352">
        <f>DataTable[[#This Row],[Manufacturing Price]]*DataTable[[#This Row],[Units Sold]]</f>
        <v>10950</v>
      </c>
      <c r="R352" s="26">
        <f>DataTable[[#This Row],[COGS]]-DataTable[[#This Row],[MC_US]]</f>
        <v>-5475</v>
      </c>
      <c r="S352" s="26">
        <f>IF(DataTable[[#This Row],[COGS-MC_US]]&gt;=0,DataTable[[#This Row],[Manufacturing Price]],DataTable[[#This Row],[COGS]]/DataTable[[#This Row],[Units Sold]])</f>
        <v>5</v>
      </c>
    </row>
    <row r="353" spans="1:19" ht="12.75" hidden="1" x14ac:dyDescent="0.2">
      <c r="A353" s="20">
        <v>41791</v>
      </c>
      <c r="B353" t="s">
        <v>395</v>
      </c>
      <c r="C353" t="s">
        <v>388</v>
      </c>
      <c r="D353" t="s">
        <v>305</v>
      </c>
      <c r="E353" t="str">
        <f>VLOOKUP(DataTable[[#This Row],[Country]],Market!B:C,2,FALSE)</f>
        <v>Europe</v>
      </c>
      <c r="F353" s="24">
        <v>10</v>
      </c>
      <c r="G353" s="24">
        <v>13660</v>
      </c>
      <c r="H353" s="24">
        <v>20</v>
      </c>
      <c r="I353" s="27">
        <v>1366</v>
      </c>
      <c r="J353" s="24">
        <v>27320</v>
      </c>
      <c r="K353" s="24">
        <v>2185.6</v>
      </c>
      <c r="L353" s="1" t="s">
        <v>124</v>
      </c>
      <c r="M353" s="24">
        <v>25134.400000000001</v>
      </c>
      <c r="N353" s="24">
        <f t="shared" si="5"/>
        <v>11474.400000000001</v>
      </c>
      <c r="O353" t="str">
        <f>IF(DataTable[[#This Row],[Profit]]/DataTable[[#This Row],[COGS]]*100&gt;20,"Achived","Not Achived")</f>
        <v>Achived</v>
      </c>
      <c r="P353" s="25">
        <f>DataTable[[#This Row],[Profit]]/DataTable[[#This Row],[COGS]]</f>
        <v>0.84000000000000008</v>
      </c>
      <c r="Q353">
        <f>DataTable[[#This Row],[Manufacturing Price]]*DataTable[[#This Row],[Units Sold]]</f>
        <v>13660</v>
      </c>
      <c r="R353" s="26">
        <f>DataTable[[#This Row],[COGS]]-DataTable[[#This Row],[MC_US]]</f>
        <v>0</v>
      </c>
      <c r="S353" s="26">
        <f>IF(DataTable[[#This Row],[COGS-MC_US]]&gt;=0,DataTable[[#This Row],[Manufacturing Price]],DataTable[[#This Row],[COGS]]/DataTable[[#This Row],[Units Sold]])</f>
        <v>10</v>
      </c>
    </row>
    <row r="354" spans="1:19" ht="12.75" hidden="1" x14ac:dyDescent="0.2">
      <c r="A354" s="20">
        <v>41852</v>
      </c>
      <c r="B354" t="s">
        <v>395</v>
      </c>
      <c r="C354" t="s">
        <v>388</v>
      </c>
      <c r="D354" t="s">
        <v>305</v>
      </c>
      <c r="E354" t="str">
        <f>VLOOKUP(DataTable[[#This Row],[Country]],Market!B:C,2,FALSE)</f>
        <v>Europe</v>
      </c>
      <c r="F354" s="24">
        <v>10</v>
      </c>
      <c r="G354" s="24">
        <v>7990</v>
      </c>
      <c r="H354" s="24">
        <v>7</v>
      </c>
      <c r="I354" s="27">
        <v>1598</v>
      </c>
      <c r="J354" s="24">
        <v>11186</v>
      </c>
      <c r="K354" s="24">
        <v>894.88</v>
      </c>
      <c r="L354" s="1" t="s">
        <v>124</v>
      </c>
      <c r="M354" s="24">
        <v>10291.120000000001</v>
      </c>
      <c r="N354" s="24">
        <f t="shared" si="5"/>
        <v>2301.1200000000008</v>
      </c>
      <c r="O354" t="str">
        <f>IF(DataTable[[#This Row],[Profit]]/DataTable[[#This Row],[COGS]]*100&gt;20,"Achived","Not Achived")</f>
        <v>Achived</v>
      </c>
      <c r="P354" s="25">
        <f>DataTable[[#This Row],[Profit]]/DataTable[[#This Row],[COGS]]</f>
        <v>0.28800000000000009</v>
      </c>
      <c r="Q354">
        <f>DataTable[[#This Row],[Manufacturing Price]]*DataTable[[#This Row],[Units Sold]]</f>
        <v>15980</v>
      </c>
      <c r="R354" s="26">
        <f>DataTable[[#This Row],[COGS]]-DataTable[[#This Row],[MC_US]]</f>
        <v>-7990</v>
      </c>
      <c r="S354" s="26">
        <f>IF(DataTable[[#This Row],[COGS-MC_US]]&gt;=0,DataTable[[#This Row],[Manufacturing Price]],DataTable[[#This Row],[COGS]]/DataTable[[#This Row],[Units Sold]])</f>
        <v>5</v>
      </c>
    </row>
    <row r="355" spans="1:19" ht="12.75" hidden="1" x14ac:dyDescent="0.2">
      <c r="A355" s="20">
        <v>41518</v>
      </c>
      <c r="B355" t="s">
        <v>395</v>
      </c>
      <c r="C355" t="s">
        <v>388</v>
      </c>
      <c r="D355" t="s">
        <v>305</v>
      </c>
      <c r="E355" t="str">
        <f>VLOOKUP(DataTable[[#This Row],[Country]],Market!B:C,2,FALSE)</f>
        <v>Europe</v>
      </c>
      <c r="F355" s="24">
        <v>10</v>
      </c>
      <c r="G355" s="24">
        <v>12045</v>
      </c>
      <c r="H355" s="24">
        <v>7</v>
      </c>
      <c r="I355" s="27">
        <v>2409</v>
      </c>
      <c r="J355" s="24">
        <v>16863</v>
      </c>
      <c r="K355" s="24">
        <v>1349.04</v>
      </c>
      <c r="L355" s="1" t="s">
        <v>124</v>
      </c>
      <c r="M355" s="24">
        <v>15513.96</v>
      </c>
      <c r="N355" s="24">
        <f t="shared" si="5"/>
        <v>3468.9599999999991</v>
      </c>
      <c r="O355" t="str">
        <f>IF(DataTable[[#This Row],[Profit]]/DataTable[[#This Row],[COGS]]*100&gt;20,"Achived","Not Achived")</f>
        <v>Achived</v>
      </c>
      <c r="P355" s="25">
        <f>DataTable[[#This Row],[Profit]]/DataTable[[#This Row],[COGS]]</f>
        <v>0.28799999999999992</v>
      </c>
      <c r="Q355">
        <f>DataTable[[#This Row],[Manufacturing Price]]*DataTable[[#This Row],[Units Sold]]</f>
        <v>24090</v>
      </c>
      <c r="R355" s="26">
        <f>DataTable[[#This Row],[COGS]]-DataTable[[#This Row],[MC_US]]</f>
        <v>-12045</v>
      </c>
      <c r="S355" s="26">
        <f>IF(DataTable[[#This Row],[COGS-MC_US]]&gt;=0,DataTable[[#This Row],[Manufacturing Price]],DataTable[[#This Row],[COGS]]/DataTable[[#This Row],[Units Sold]])</f>
        <v>5</v>
      </c>
    </row>
    <row r="356" spans="1:19" ht="12.75" hidden="1" x14ac:dyDescent="0.2">
      <c r="A356" s="20">
        <v>41883</v>
      </c>
      <c r="B356" t="s">
        <v>395</v>
      </c>
      <c r="C356" t="s">
        <v>388</v>
      </c>
      <c r="D356" t="s">
        <v>305</v>
      </c>
      <c r="E356" t="str">
        <f>VLOOKUP(DataTable[[#This Row],[Country]],Market!B:C,2,FALSE)</f>
        <v>Europe</v>
      </c>
      <c r="F356" s="24">
        <v>10</v>
      </c>
      <c r="G356" s="24">
        <v>19340</v>
      </c>
      <c r="H356" s="24">
        <v>20</v>
      </c>
      <c r="I356" s="27">
        <v>1934</v>
      </c>
      <c r="J356" s="24">
        <v>38680</v>
      </c>
      <c r="K356" s="24">
        <v>3094.4</v>
      </c>
      <c r="L356" s="1" t="s">
        <v>124</v>
      </c>
      <c r="M356" s="24">
        <v>35585.599999999999</v>
      </c>
      <c r="N356" s="24">
        <f t="shared" si="5"/>
        <v>16245.599999999999</v>
      </c>
      <c r="O356" t="str">
        <f>IF(DataTable[[#This Row],[Profit]]/DataTable[[#This Row],[COGS]]*100&gt;20,"Achived","Not Achived")</f>
        <v>Achived</v>
      </c>
      <c r="P356" s="25">
        <f>DataTable[[#This Row],[Profit]]/DataTable[[#This Row],[COGS]]</f>
        <v>0.84</v>
      </c>
      <c r="Q356">
        <f>DataTable[[#This Row],[Manufacturing Price]]*DataTable[[#This Row],[Units Sold]]</f>
        <v>19340</v>
      </c>
      <c r="R356" s="26">
        <f>DataTable[[#This Row],[COGS]]-DataTable[[#This Row],[MC_US]]</f>
        <v>0</v>
      </c>
      <c r="S356" s="26">
        <f>IF(DataTable[[#This Row],[COGS-MC_US]]&gt;=0,DataTable[[#This Row],[Manufacturing Price]],DataTable[[#This Row],[COGS]]/DataTable[[#This Row],[Units Sold]])</f>
        <v>10</v>
      </c>
    </row>
    <row r="357" spans="1:19" ht="12.75" hidden="1" x14ac:dyDescent="0.2">
      <c r="A357" s="20">
        <v>41579</v>
      </c>
      <c r="B357" t="s">
        <v>395</v>
      </c>
      <c r="C357" t="s">
        <v>388</v>
      </c>
      <c r="D357" t="s">
        <v>305</v>
      </c>
      <c r="E357" t="str">
        <f>VLOOKUP(DataTable[[#This Row],[Country]],Market!B:C,2,FALSE)</f>
        <v>Europe</v>
      </c>
      <c r="F357" s="24">
        <v>10</v>
      </c>
      <c r="G357" s="24">
        <v>557960</v>
      </c>
      <c r="H357" s="24">
        <v>350</v>
      </c>
      <c r="I357" s="27">
        <v>2146</v>
      </c>
      <c r="J357" s="24">
        <v>751100</v>
      </c>
      <c r="K357" s="24">
        <v>60088</v>
      </c>
      <c r="L357" s="1" t="s">
        <v>124</v>
      </c>
      <c r="M357" s="24">
        <v>691012</v>
      </c>
      <c r="N357" s="24">
        <f t="shared" si="5"/>
        <v>133052</v>
      </c>
      <c r="O357" t="str">
        <f>IF(DataTable[[#This Row],[Profit]]/DataTable[[#This Row],[COGS]]*100&gt;20,"Achived","Not Achived")</f>
        <v>Achived</v>
      </c>
      <c r="P357" s="25">
        <f>DataTable[[#This Row],[Profit]]/DataTable[[#This Row],[COGS]]</f>
        <v>0.23846153846153847</v>
      </c>
      <c r="Q357">
        <f>DataTable[[#This Row],[Manufacturing Price]]*DataTable[[#This Row],[Units Sold]]</f>
        <v>21460</v>
      </c>
      <c r="R357" s="26">
        <f>DataTable[[#This Row],[COGS]]-DataTable[[#This Row],[MC_US]]</f>
        <v>536500</v>
      </c>
      <c r="S357" s="26">
        <f>IF(DataTable[[#This Row],[COGS-MC_US]]&gt;=0,DataTable[[#This Row],[Manufacturing Price]],DataTable[[#This Row],[COGS]]/DataTable[[#This Row],[Units Sold]])</f>
        <v>10</v>
      </c>
    </row>
    <row r="358" spans="1:19" ht="12.75" hidden="1" x14ac:dyDescent="0.2">
      <c r="A358" s="20">
        <v>41791</v>
      </c>
      <c r="B358" t="s">
        <v>396</v>
      </c>
      <c r="C358" t="s">
        <v>388</v>
      </c>
      <c r="D358" t="s">
        <v>305</v>
      </c>
      <c r="E358" t="str">
        <f>VLOOKUP(DataTable[[#This Row],[Country]],Market!B:C,2,FALSE)</f>
        <v>Europe</v>
      </c>
      <c r="F358" s="24">
        <v>120</v>
      </c>
      <c r="G358" s="24">
        <v>11690</v>
      </c>
      <c r="H358" s="24">
        <v>7</v>
      </c>
      <c r="I358" s="27">
        <v>2338</v>
      </c>
      <c r="J358" s="24">
        <v>16366</v>
      </c>
      <c r="K358" s="24">
        <v>1309.28</v>
      </c>
      <c r="L358" s="1" t="s">
        <v>124</v>
      </c>
      <c r="M358" s="24">
        <v>15056.72</v>
      </c>
      <c r="N358" s="24">
        <f t="shared" si="5"/>
        <v>3366.7199999999993</v>
      </c>
      <c r="O358" t="str">
        <f>IF(DataTable[[#This Row],[Profit]]/DataTable[[#This Row],[COGS]]*100&gt;20,"Achived","Not Achived")</f>
        <v>Achived</v>
      </c>
      <c r="P358" s="25">
        <f>DataTable[[#This Row],[Profit]]/DataTable[[#This Row],[COGS]]</f>
        <v>0.28799999999999992</v>
      </c>
      <c r="Q358">
        <f>DataTable[[#This Row],[Manufacturing Price]]*DataTable[[#This Row],[Units Sold]]</f>
        <v>280560</v>
      </c>
      <c r="R358" s="26">
        <f>DataTable[[#This Row],[COGS]]-DataTable[[#This Row],[MC_US]]</f>
        <v>-268870</v>
      </c>
      <c r="S358" s="26">
        <f>IF(DataTable[[#This Row],[COGS-MC_US]]&gt;=0,DataTable[[#This Row],[Manufacturing Price]],DataTable[[#This Row],[COGS]]/DataTable[[#This Row],[Units Sold]])</f>
        <v>5</v>
      </c>
    </row>
    <row r="359" spans="1:19" ht="12.75" hidden="1" x14ac:dyDescent="0.2">
      <c r="A359" s="20">
        <v>41791</v>
      </c>
      <c r="B359" t="s">
        <v>397</v>
      </c>
      <c r="C359" t="s">
        <v>388</v>
      </c>
      <c r="D359" t="s">
        <v>305</v>
      </c>
      <c r="E359" t="str">
        <f>VLOOKUP(DataTable[[#This Row],[Country]],Market!B:C,2,FALSE)</f>
        <v>Europe</v>
      </c>
      <c r="F359" s="24">
        <v>250</v>
      </c>
      <c r="G359" s="24">
        <v>11690</v>
      </c>
      <c r="H359" s="24">
        <v>7</v>
      </c>
      <c r="I359" s="27">
        <v>2338</v>
      </c>
      <c r="J359" s="24">
        <v>16366</v>
      </c>
      <c r="K359" s="24">
        <v>1309.28</v>
      </c>
      <c r="L359" s="1" t="s">
        <v>124</v>
      </c>
      <c r="M359" s="24">
        <v>15056.72</v>
      </c>
      <c r="N359" s="24">
        <f t="shared" si="5"/>
        <v>3366.7199999999993</v>
      </c>
      <c r="O359" t="str">
        <f>IF(DataTable[[#This Row],[Profit]]/DataTable[[#This Row],[COGS]]*100&gt;20,"Achived","Not Achived")</f>
        <v>Achived</v>
      </c>
      <c r="P359" s="25">
        <f>DataTable[[#This Row],[Profit]]/DataTable[[#This Row],[COGS]]</f>
        <v>0.28799999999999992</v>
      </c>
      <c r="Q359">
        <f>DataTable[[#This Row],[Manufacturing Price]]*DataTable[[#This Row],[Units Sold]]</f>
        <v>584500</v>
      </c>
      <c r="R359" s="26">
        <f>DataTable[[#This Row],[COGS]]-DataTable[[#This Row],[MC_US]]</f>
        <v>-572810</v>
      </c>
      <c r="S359" s="26">
        <f>IF(DataTable[[#This Row],[COGS-MC_US]]&gt;=0,DataTable[[#This Row],[Manufacturing Price]],DataTable[[#This Row],[COGS]]/DataTable[[#This Row],[Units Sold]])</f>
        <v>5</v>
      </c>
    </row>
    <row r="360" spans="1:19" ht="12.75" hidden="1" x14ac:dyDescent="0.2">
      <c r="A360" s="20">
        <v>41852</v>
      </c>
      <c r="B360" t="s">
        <v>397</v>
      </c>
      <c r="C360" t="s">
        <v>388</v>
      </c>
      <c r="D360" t="s">
        <v>305</v>
      </c>
      <c r="E360" t="str">
        <f>VLOOKUP(DataTable[[#This Row],[Country]],Market!B:C,2,FALSE)</f>
        <v>Europe</v>
      </c>
      <c r="F360" s="24">
        <v>250</v>
      </c>
      <c r="G360" s="24">
        <v>109720</v>
      </c>
      <c r="H360" s="24">
        <v>350</v>
      </c>
      <c r="I360" s="27">
        <v>422</v>
      </c>
      <c r="J360" s="24">
        <v>147700</v>
      </c>
      <c r="K360" s="24">
        <v>11816</v>
      </c>
      <c r="L360" s="1" t="s">
        <v>124</v>
      </c>
      <c r="M360" s="24">
        <v>135884</v>
      </c>
      <c r="N360" s="24">
        <f t="shared" si="5"/>
        <v>26164</v>
      </c>
      <c r="O360" t="str">
        <f>IF(DataTable[[#This Row],[Profit]]/DataTable[[#This Row],[COGS]]*100&gt;20,"Achived","Not Achived")</f>
        <v>Achived</v>
      </c>
      <c r="P360" s="25">
        <f>DataTable[[#This Row],[Profit]]/DataTable[[#This Row],[COGS]]</f>
        <v>0.23846153846153847</v>
      </c>
      <c r="Q360">
        <f>DataTable[[#This Row],[Manufacturing Price]]*DataTable[[#This Row],[Units Sold]]</f>
        <v>105500</v>
      </c>
      <c r="R360" s="26">
        <f>DataTable[[#This Row],[COGS]]-DataTable[[#This Row],[MC_US]]</f>
        <v>4220</v>
      </c>
      <c r="S360" s="26">
        <f>IF(DataTable[[#This Row],[COGS-MC_US]]&gt;=0,DataTable[[#This Row],[Manufacturing Price]],DataTable[[#This Row],[COGS]]/DataTable[[#This Row],[Units Sold]])</f>
        <v>250</v>
      </c>
    </row>
    <row r="361" spans="1:19" ht="12.75" hidden="1" x14ac:dyDescent="0.2">
      <c r="A361" s="20">
        <v>41791</v>
      </c>
      <c r="B361" t="s">
        <v>398</v>
      </c>
      <c r="C361" t="s">
        <v>388</v>
      </c>
      <c r="D361" t="s">
        <v>305</v>
      </c>
      <c r="E361" t="str">
        <f>VLOOKUP(DataTable[[#This Row],[Country]],Market!B:C,2,FALSE)</f>
        <v>Europe</v>
      </c>
      <c r="F361" s="24">
        <v>260</v>
      </c>
      <c r="G361" s="24">
        <v>13660</v>
      </c>
      <c r="H361" s="24">
        <v>20</v>
      </c>
      <c r="I361" s="27">
        <v>1366</v>
      </c>
      <c r="J361" s="24">
        <v>27320</v>
      </c>
      <c r="K361" s="24">
        <v>2185.6</v>
      </c>
      <c r="L361" s="1" t="s">
        <v>124</v>
      </c>
      <c r="M361" s="24">
        <v>25134.400000000001</v>
      </c>
      <c r="N361" s="24">
        <f t="shared" si="5"/>
        <v>11474.400000000001</v>
      </c>
      <c r="O361" t="str">
        <f>IF(DataTable[[#This Row],[Profit]]/DataTable[[#This Row],[COGS]]*100&gt;20,"Achived","Not Achived")</f>
        <v>Achived</v>
      </c>
      <c r="P361" s="25">
        <f>DataTable[[#This Row],[Profit]]/DataTable[[#This Row],[COGS]]</f>
        <v>0.84000000000000008</v>
      </c>
      <c r="Q361">
        <f>DataTable[[#This Row],[Manufacturing Price]]*DataTable[[#This Row],[Units Sold]]</f>
        <v>355160</v>
      </c>
      <c r="R361" s="26">
        <f>DataTable[[#This Row],[COGS]]-DataTable[[#This Row],[MC_US]]</f>
        <v>-341500</v>
      </c>
      <c r="S361" s="26">
        <f>IF(DataTable[[#This Row],[COGS-MC_US]]&gt;=0,DataTable[[#This Row],[Manufacturing Price]],DataTable[[#This Row],[COGS]]/DataTable[[#This Row],[Units Sold]])</f>
        <v>10</v>
      </c>
    </row>
    <row r="362" spans="1:19" ht="12.75" hidden="1" x14ac:dyDescent="0.2">
      <c r="A362" s="20">
        <v>41944</v>
      </c>
      <c r="B362" t="s">
        <v>398</v>
      </c>
      <c r="C362" t="s">
        <v>388</v>
      </c>
      <c r="D362" t="s">
        <v>305</v>
      </c>
      <c r="E362" t="str">
        <f>VLOOKUP(DataTable[[#This Row],[Country]],Market!B:C,2,FALSE)</f>
        <v>Europe</v>
      </c>
      <c r="F362" s="24">
        <v>260</v>
      </c>
      <c r="G362" s="24">
        <v>15200</v>
      </c>
      <c r="H362" s="24">
        <v>20</v>
      </c>
      <c r="I362" s="27">
        <v>1520</v>
      </c>
      <c r="J362" s="24">
        <v>30400</v>
      </c>
      <c r="K362" s="24">
        <v>2432</v>
      </c>
      <c r="L362" s="1" t="s">
        <v>124</v>
      </c>
      <c r="M362" s="24">
        <v>27968</v>
      </c>
      <c r="N362" s="24">
        <f t="shared" si="5"/>
        <v>12768</v>
      </c>
      <c r="O362" t="str">
        <f>IF(DataTable[[#This Row],[Profit]]/DataTable[[#This Row],[COGS]]*100&gt;20,"Achived","Not Achived")</f>
        <v>Achived</v>
      </c>
      <c r="P362" s="25">
        <f>DataTable[[#This Row],[Profit]]/DataTable[[#This Row],[COGS]]</f>
        <v>0.84</v>
      </c>
      <c r="Q362">
        <f>DataTable[[#This Row],[Manufacturing Price]]*DataTable[[#This Row],[Units Sold]]</f>
        <v>395200</v>
      </c>
      <c r="R362" s="26">
        <f>DataTable[[#This Row],[COGS]]-DataTable[[#This Row],[MC_US]]</f>
        <v>-380000</v>
      </c>
      <c r="S362" s="26">
        <f>IF(DataTable[[#This Row],[COGS-MC_US]]&gt;=0,DataTable[[#This Row],[Manufacturing Price]],DataTable[[#This Row],[COGS]]/DataTable[[#This Row],[Units Sold]])</f>
        <v>10</v>
      </c>
    </row>
    <row r="363" spans="1:19" ht="12.75" hidden="1" x14ac:dyDescent="0.2">
      <c r="A363" s="20">
        <v>41821</v>
      </c>
      <c r="B363" t="s">
        <v>396</v>
      </c>
      <c r="C363" t="s">
        <v>388</v>
      </c>
      <c r="D363" t="s">
        <v>305</v>
      </c>
      <c r="E363" t="str">
        <f>VLOOKUP(DataTable[[#This Row],[Country]],Market!B:C,2,FALSE)</f>
        <v>Europe</v>
      </c>
      <c r="F363" s="24">
        <v>120</v>
      </c>
      <c r="G363" s="24">
        <v>339820</v>
      </c>
      <c r="H363" s="24">
        <v>350</v>
      </c>
      <c r="I363" s="27">
        <v>1307</v>
      </c>
      <c r="J363" s="24">
        <v>457450</v>
      </c>
      <c r="K363" s="24">
        <v>41170.5</v>
      </c>
      <c r="L363" s="1" t="s">
        <v>124</v>
      </c>
      <c r="M363" s="24">
        <v>416279.5</v>
      </c>
      <c r="N363" s="24">
        <f t="shared" si="5"/>
        <v>76459.5</v>
      </c>
      <c r="O363" t="str">
        <f>IF(DataTable[[#This Row],[Profit]]/DataTable[[#This Row],[COGS]]*100&gt;20,"Achived","Not Achived")</f>
        <v>Achived</v>
      </c>
      <c r="P363" s="25">
        <f>DataTable[[#This Row],[Profit]]/DataTable[[#This Row],[COGS]]</f>
        <v>0.22500000000000001</v>
      </c>
      <c r="Q363">
        <f>DataTable[[#This Row],[Manufacturing Price]]*DataTable[[#This Row],[Units Sold]]</f>
        <v>156840</v>
      </c>
      <c r="R363" s="26">
        <f>DataTable[[#This Row],[COGS]]-DataTable[[#This Row],[MC_US]]</f>
        <v>182980</v>
      </c>
      <c r="S363" s="26">
        <f>IF(DataTable[[#This Row],[COGS-MC_US]]&gt;=0,DataTable[[#This Row],[Manufacturing Price]],DataTable[[#This Row],[COGS]]/DataTable[[#This Row],[Units Sold]])</f>
        <v>120</v>
      </c>
    </row>
    <row r="364" spans="1:19" ht="12.75" hidden="1" x14ac:dyDescent="0.2">
      <c r="A364" s="20">
        <v>41760</v>
      </c>
      <c r="B364" t="s">
        <v>389</v>
      </c>
      <c r="C364" t="s">
        <v>388</v>
      </c>
      <c r="D364" t="s">
        <v>305</v>
      </c>
      <c r="E364" t="str">
        <f>VLOOKUP(DataTable[[#This Row],[Country]],Market!B:C,2,FALSE)</f>
        <v>Europe</v>
      </c>
      <c r="F364" s="24">
        <v>3</v>
      </c>
      <c r="G364" s="24">
        <v>6630</v>
      </c>
      <c r="H364" s="24">
        <v>20</v>
      </c>
      <c r="I364" s="27">
        <v>663</v>
      </c>
      <c r="J364" s="24">
        <v>13260</v>
      </c>
      <c r="K364" s="24">
        <v>1193.4000000000001</v>
      </c>
      <c r="L364" s="1" t="s">
        <v>124</v>
      </c>
      <c r="M364" s="24">
        <v>12066.6</v>
      </c>
      <c r="N364" s="24">
        <f t="shared" si="5"/>
        <v>5436.6</v>
      </c>
      <c r="O364" t="str">
        <f>IF(DataTable[[#This Row],[Profit]]/DataTable[[#This Row],[COGS]]*100&gt;20,"Achived","Not Achived")</f>
        <v>Achived</v>
      </c>
      <c r="P364" s="25">
        <f>DataTable[[#This Row],[Profit]]/DataTable[[#This Row],[COGS]]</f>
        <v>0.82000000000000006</v>
      </c>
      <c r="Q364">
        <f>DataTable[[#This Row],[Manufacturing Price]]*DataTable[[#This Row],[Units Sold]]</f>
        <v>1989</v>
      </c>
      <c r="R364" s="26">
        <f>DataTable[[#This Row],[COGS]]-DataTable[[#This Row],[MC_US]]</f>
        <v>4641</v>
      </c>
      <c r="S364" s="26">
        <f>IF(DataTable[[#This Row],[COGS-MC_US]]&gt;=0,DataTable[[#This Row],[Manufacturing Price]],DataTable[[#This Row],[COGS]]/DataTable[[#This Row],[Units Sold]])</f>
        <v>3</v>
      </c>
    </row>
    <row r="365" spans="1:19" ht="12.75" hidden="1" x14ac:dyDescent="0.2">
      <c r="A365" s="20">
        <v>41913</v>
      </c>
      <c r="B365" t="s">
        <v>395</v>
      </c>
      <c r="C365" t="s">
        <v>388</v>
      </c>
      <c r="D365" t="s">
        <v>305</v>
      </c>
      <c r="E365" t="str">
        <f>VLOOKUP(DataTable[[#This Row],[Country]],Market!B:C,2,FALSE)</f>
        <v>Europe</v>
      </c>
      <c r="F365" s="24">
        <v>10</v>
      </c>
      <c r="G365" s="24">
        <v>1800</v>
      </c>
      <c r="H365" s="24">
        <v>7</v>
      </c>
      <c r="I365" s="27">
        <v>360</v>
      </c>
      <c r="J365" s="24">
        <v>2520</v>
      </c>
      <c r="K365" s="24">
        <v>226.8</v>
      </c>
      <c r="L365" s="1" t="s">
        <v>124</v>
      </c>
      <c r="M365" s="24">
        <v>2293.1999999999998</v>
      </c>
      <c r="N365" s="24">
        <f t="shared" si="5"/>
        <v>493.19999999999982</v>
      </c>
      <c r="O365" t="str">
        <f>IF(DataTable[[#This Row],[Profit]]/DataTable[[#This Row],[COGS]]*100&gt;20,"Achived","Not Achived")</f>
        <v>Achived</v>
      </c>
      <c r="P365" s="25">
        <f>DataTable[[#This Row],[Profit]]/DataTable[[#This Row],[COGS]]</f>
        <v>0.27399999999999991</v>
      </c>
      <c r="Q365">
        <f>DataTable[[#This Row],[Manufacturing Price]]*DataTable[[#This Row],[Units Sold]]</f>
        <v>3600</v>
      </c>
      <c r="R365" s="26">
        <f>DataTable[[#This Row],[COGS]]-DataTable[[#This Row],[MC_US]]</f>
        <v>-1800</v>
      </c>
      <c r="S365" s="26">
        <f>IF(DataTable[[#This Row],[COGS-MC_US]]&gt;=0,DataTable[[#This Row],[Manufacturing Price]],DataTable[[#This Row],[COGS]]/DataTable[[#This Row],[Units Sold]])</f>
        <v>5</v>
      </c>
    </row>
    <row r="366" spans="1:19" ht="12.75" hidden="1" x14ac:dyDescent="0.2">
      <c r="A366" s="20">
        <v>41913</v>
      </c>
      <c r="B366" t="s">
        <v>397</v>
      </c>
      <c r="C366" t="s">
        <v>388</v>
      </c>
      <c r="D366" t="s">
        <v>305</v>
      </c>
      <c r="E366" t="str">
        <f>VLOOKUP(DataTable[[#This Row],[Country]],Market!B:C,2,FALSE)</f>
        <v>Europe</v>
      </c>
      <c r="F366" s="24">
        <v>250</v>
      </c>
      <c r="G366" s="24">
        <v>1800</v>
      </c>
      <c r="H366" s="24">
        <v>7</v>
      </c>
      <c r="I366" s="27">
        <v>360</v>
      </c>
      <c r="J366" s="24">
        <v>2520</v>
      </c>
      <c r="K366" s="24">
        <v>226.8</v>
      </c>
      <c r="L366" s="1" t="s">
        <v>124</v>
      </c>
      <c r="M366" s="24">
        <v>2293.1999999999998</v>
      </c>
      <c r="N366" s="24">
        <f t="shared" si="5"/>
        <v>493.19999999999982</v>
      </c>
      <c r="O366" t="str">
        <f>IF(DataTable[[#This Row],[Profit]]/DataTable[[#This Row],[COGS]]*100&gt;20,"Achived","Not Achived")</f>
        <v>Achived</v>
      </c>
      <c r="P366" s="25">
        <f>DataTable[[#This Row],[Profit]]/DataTable[[#This Row],[COGS]]</f>
        <v>0.27399999999999991</v>
      </c>
      <c r="Q366">
        <f>DataTable[[#This Row],[Manufacturing Price]]*DataTable[[#This Row],[Units Sold]]</f>
        <v>90000</v>
      </c>
      <c r="R366" s="26">
        <f>DataTable[[#This Row],[COGS]]-DataTable[[#This Row],[MC_US]]</f>
        <v>-88200</v>
      </c>
      <c r="S366" s="26">
        <f>IF(DataTable[[#This Row],[COGS-MC_US]]&gt;=0,DataTable[[#This Row],[Manufacturing Price]],DataTable[[#This Row],[COGS]]/DataTable[[#This Row],[Units Sold]])</f>
        <v>5</v>
      </c>
    </row>
    <row r="367" spans="1:19" ht="12.75" x14ac:dyDescent="0.2">
      <c r="A367" s="20">
        <v>41913</v>
      </c>
      <c r="B367" t="s">
        <v>395</v>
      </c>
      <c r="C367" t="s">
        <v>388</v>
      </c>
      <c r="D367" t="s">
        <v>305</v>
      </c>
      <c r="E367" t="str">
        <f>VLOOKUP(DataTable[[#This Row],[Country]],Market!B:C,2,FALSE)</f>
        <v>Europe</v>
      </c>
      <c r="F367" s="24">
        <v>10</v>
      </c>
      <c r="G367" s="24">
        <v>2410</v>
      </c>
      <c r="H367" s="24">
        <v>20</v>
      </c>
      <c r="I367" s="27">
        <v>241</v>
      </c>
      <c r="J367" s="24">
        <v>4820</v>
      </c>
      <c r="K367" s="24">
        <v>482</v>
      </c>
      <c r="L367" s="1" t="s">
        <v>158</v>
      </c>
      <c r="M367" s="24">
        <v>4338</v>
      </c>
      <c r="N367" s="24">
        <f t="shared" si="5"/>
        <v>1928</v>
      </c>
      <c r="O367" t="str">
        <f>IF(DataTable[[#This Row],[Profit]]/DataTable[[#This Row],[COGS]]*100&gt;20,"Achived","Not Achived")</f>
        <v>Achived</v>
      </c>
      <c r="P367" s="25">
        <f>DataTable[[#This Row],[Profit]]/DataTable[[#This Row],[COGS]]</f>
        <v>0.8</v>
      </c>
      <c r="Q367">
        <f>DataTable[[#This Row],[Manufacturing Price]]*DataTable[[#This Row],[Units Sold]]</f>
        <v>2410</v>
      </c>
      <c r="R367" s="26">
        <f>DataTable[[#This Row],[COGS]]-DataTable[[#This Row],[MC_US]]</f>
        <v>0</v>
      </c>
      <c r="S367" s="26">
        <f>IF(DataTable[[#This Row],[COGS-MC_US]]&gt;=0,DataTable[[#This Row],[Manufacturing Price]],DataTable[[#This Row],[COGS]]/DataTable[[#This Row],[Units Sold]])</f>
        <v>10</v>
      </c>
    </row>
    <row r="368" spans="1:19" ht="12.75" x14ac:dyDescent="0.2">
      <c r="A368" s="20">
        <v>41913</v>
      </c>
      <c r="B368" t="s">
        <v>396</v>
      </c>
      <c r="C368" t="s">
        <v>388</v>
      </c>
      <c r="D368" t="s">
        <v>305</v>
      </c>
      <c r="E368" t="str">
        <f>VLOOKUP(DataTable[[#This Row],[Country]],Market!B:C,2,FALSE)</f>
        <v>Europe</v>
      </c>
      <c r="F368" s="24">
        <v>120</v>
      </c>
      <c r="G368" s="24">
        <v>2410</v>
      </c>
      <c r="H368" s="24">
        <v>20</v>
      </c>
      <c r="I368" s="27">
        <v>241</v>
      </c>
      <c r="J368" s="24">
        <v>4820</v>
      </c>
      <c r="K368" s="24">
        <v>482</v>
      </c>
      <c r="L368" s="1" t="s">
        <v>158</v>
      </c>
      <c r="M368" s="24">
        <v>4338</v>
      </c>
      <c r="N368" s="24">
        <f t="shared" si="5"/>
        <v>1928</v>
      </c>
      <c r="O368" t="str">
        <f>IF(DataTable[[#This Row],[Profit]]/DataTable[[#This Row],[COGS]]*100&gt;20,"Achived","Not Achived")</f>
        <v>Achived</v>
      </c>
      <c r="P368" s="25">
        <f>DataTable[[#This Row],[Profit]]/DataTable[[#This Row],[COGS]]</f>
        <v>0.8</v>
      </c>
      <c r="Q368">
        <f>DataTable[[#This Row],[Manufacturing Price]]*DataTable[[#This Row],[Units Sold]]</f>
        <v>28920</v>
      </c>
      <c r="R368" s="26">
        <f>DataTable[[#This Row],[COGS]]-DataTable[[#This Row],[MC_US]]</f>
        <v>-26510</v>
      </c>
      <c r="S368" s="26">
        <f>IF(DataTable[[#This Row],[COGS-MC_US]]&gt;=0,DataTable[[#This Row],[Manufacturing Price]],DataTable[[#This Row],[COGS]]/DataTable[[#This Row],[Units Sold]])</f>
        <v>10</v>
      </c>
    </row>
    <row r="369" spans="1:19" ht="12.75" x14ac:dyDescent="0.2">
      <c r="A369" s="20">
        <v>41944</v>
      </c>
      <c r="B369" t="s">
        <v>396</v>
      </c>
      <c r="C369" t="s">
        <v>388</v>
      </c>
      <c r="D369" t="s">
        <v>305</v>
      </c>
      <c r="E369" t="str">
        <f>VLOOKUP(DataTable[[#This Row],[Country]],Market!B:C,2,FALSE)</f>
        <v>Europe</v>
      </c>
      <c r="F369" s="24">
        <v>120</v>
      </c>
      <c r="G369" s="24">
        <v>13325</v>
      </c>
      <c r="H369" s="24">
        <v>7</v>
      </c>
      <c r="I369" s="27">
        <v>2665</v>
      </c>
      <c r="J369" s="24">
        <v>18655</v>
      </c>
      <c r="K369" s="24">
        <v>1865.5</v>
      </c>
      <c r="L369" s="1" t="s">
        <v>158</v>
      </c>
      <c r="M369" s="24">
        <v>16789.5</v>
      </c>
      <c r="N369" s="24">
        <f t="shared" si="5"/>
        <v>3464.5</v>
      </c>
      <c r="O369" t="str">
        <f>IF(DataTable[[#This Row],[Profit]]/DataTable[[#This Row],[COGS]]*100&gt;20,"Achived","Not Achived")</f>
        <v>Achived</v>
      </c>
      <c r="P369" s="25">
        <f>DataTable[[#This Row],[Profit]]/DataTable[[#This Row],[COGS]]</f>
        <v>0.26</v>
      </c>
      <c r="Q369">
        <f>DataTable[[#This Row],[Manufacturing Price]]*DataTable[[#This Row],[Units Sold]]</f>
        <v>319800</v>
      </c>
      <c r="R369" s="26">
        <f>DataTable[[#This Row],[COGS]]-DataTable[[#This Row],[MC_US]]</f>
        <v>-306475</v>
      </c>
      <c r="S369" s="26">
        <f>IF(DataTable[[#This Row],[COGS-MC_US]]&gt;=0,DataTable[[#This Row],[Manufacturing Price]],DataTable[[#This Row],[COGS]]/DataTable[[#This Row],[Units Sold]])</f>
        <v>5</v>
      </c>
    </row>
    <row r="370" spans="1:19" ht="12.75" x14ac:dyDescent="0.2">
      <c r="A370" s="20">
        <v>41609</v>
      </c>
      <c r="B370" t="s">
        <v>397</v>
      </c>
      <c r="C370" t="s">
        <v>388</v>
      </c>
      <c r="D370" t="s">
        <v>305</v>
      </c>
      <c r="E370" t="str">
        <f>VLOOKUP(DataTable[[#This Row],[Country]],Market!B:C,2,FALSE)</f>
        <v>Europe</v>
      </c>
      <c r="F370" s="24">
        <v>250</v>
      </c>
      <c r="G370" s="24">
        <v>486200</v>
      </c>
      <c r="H370" s="24">
        <v>350</v>
      </c>
      <c r="I370" s="27">
        <v>1870</v>
      </c>
      <c r="J370" s="24">
        <v>654500</v>
      </c>
      <c r="K370" s="24">
        <v>65450</v>
      </c>
      <c r="L370" s="1" t="s">
        <v>158</v>
      </c>
      <c r="M370" s="24">
        <v>589050</v>
      </c>
      <c r="N370" s="24">
        <f t="shared" si="5"/>
        <v>102850</v>
      </c>
      <c r="O370" t="str">
        <f>IF(DataTable[[#This Row],[Profit]]/DataTable[[#This Row],[COGS]]*100&gt;20,"Achived","Not Achived")</f>
        <v>Achived</v>
      </c>
      <c r="P370" s="25">
        <f>DataTable[[#This Row],[Profit]]/DataTable[[#This Row],[COGS]]</f>
        <v>0.21153846153846154</v>
      </c>
      <c r="Q370">
        <f>DataTable[[#This Row],[Manufacturing Price]]*DataTable[[#This Row],[Units Sold]]</f>
        <v>467500</v>
      </c>
      <c r="R370" s="26">
        <f>DataTable[[#This Row],[COGS]]-DataTable[[#This Row],[MC_US]]</f>
        <v>18700</v>
      </c>
      <c r="S370" s="26">
        <f>IF(DataTable[[#This Row],[COGS-MC_US]]&gt;=0,DataTable[[#This Row],[Manufacturing Price]],DataTable[[#This Row],[COGS]]/DataTable[[#This Row],[Units Sold]])</f>
        <v>250</v>
      </c>
    </row>
    <row r="371" spans="1:19" ht="12.75" x14ac:dyDescent="0.2">
      <c r="A371" s="20">
        <v>41699</v>
      </c>
      <c r="B371" t="s">
        <v>389</v>
      </c>
      <c r="C371" t="s">
        <v>388</v>
      </c>
      <c r="D371" t="s">
        <v>305</v>
      </c>
      <c r="E371" t="str">
        <f>VLOOKUP(DataTable[[#This Row],[Country]],Market!B:C,2,FALSE)</f>
        <v>Europe</v>
      </c>
      <c r="F371" s="24">
        <v>3</v>
      </c>
      <c r="G371" s="24">
        <v>205920</v>
      </c>
      <c r="H371" s="24">
        <v>350</v>
      </c>
      <c r="I371" s="27">
        <v>792</v>
      </c>
      <c r="J371" s="24">
        <v>277200</v>
      </c>
      <c r="K371" s="24">
        <v>30492</v>
      </c>
      <c r="L371" s="1" t="s">
        <v>158</v>
      </c>
      <c r="M371" s="24">
        <v>246708</v>
      </c>
      <c r="N371" s="24">
        <f t="shared" si="5"/>
        <v>40788</v>
      </c>
      <c r="O371" t="str">
        <f>IF(DataTable[[#This Row],[Profit]]/DataTable[[#This Row],[COGS]]*100&gt;20,"Achived","Not Achived")</f>
        <v>Not Achived</v>
      </c>
      <c r="P371" s="25">
        <f>DataTable[[#This Row],[Profit]]/DataTable[[#This Row],[COGS]]</f>
        <v>0.19807692307692307</v>
      </c>
      <c r="Q371">
        <f>DataTable[[#This Row],[Manufacturing Price]]*DataTable[[#This Row],[Units Sold]]</f>
        <v>2376</v>
      </c>
      <c r="R371" s="26">
        <f>DataTable[[#This Row],[COGS]]-DataTable[[#This Row],[MC_US]]</f>
        <v>203544</v>
      </c>
      <c r="S371" s="26">
        <f>IF(DataTable[[#This Row],[COGS-MC_US]]&gt;=0,DataTable[[#This Row],[Manufacturing Price]],DataTable[[#This Row],[COGS]]/DataTable[[#This Row],[Units Sold]])</f>
        <v>3</v>
      </c>
    </row>
    <row r="372" spans="1:19" ht="12.75" x14ac:dyDescent="0.2">
      <c r="A372" s="20">
        <v>41640</v>
      </c>
      <c r="B372" t="s">
        <v>391</v>
      </c>
      <c r="C372" t="s">
        <v>388</v>
      </c>
      <c r="D372" t="s">
        <v>305</v>
      </c>
      <c r="E372" t="str">
        <f>VLOOKUP(DataTable[[#This Row],[Country]],Market!B:C,2,FALSE)</f>
        <v>Europe</v>
      </c>
      <c r="F372" s="24">
        <v>5</v>
      </c>
      <c r="G372" s="24">
        <v>199160</v>
      </c>
      <c r="H372" s="24">
        <v>350</v>
      </c>
      <c r="I372" s="27">
        <v>766</v>
      </c>
      <c r="J372" s="24">
        <v>268100</v>
      </c>
      <c r="K372" s="24">
        <v>29491</v>
      </c>
      <c r="L372" s="1" t="s">
        <v>158</v>
      </c>
      <c r="M372" s="24">
        <v>238609</v>
      </c>
      <c r="N372" s="24">
        <f t="shared" si="5"/>
        <v>39449</v>
      </c>
      <c r="O372" t="str">
        <f>IF(DataTable[[#This Row],[Profit]]/DataTable[[#This Row],[COGS]]*100&gt;20,"Achived","Not Achived")</f>
        <v>Not Achived</v>
      </c>
      <c r="P372" s="25">
        <f>DataTable[[#This Row],[Profit]]/DataTable[[#This Row],[COGS]]</f>
        <v>0.19807692307692307</v>
      </c>
      <c r="Q372">
        <f>DataTable[[#This Row],[Manufacturing Price]]*DataTable[[#This Row],[Units Sold]]</f>
        <v>3830</v>
      </c>
      <c r="R372" s="26">
        <f>DataTable[[#This Row],[COGS]]-DataTable[[#This Row],[MC_US]]</f>
        <v>195330</v>
      </c>
      <c r="S372" s="26">
        <f>IF(DataTable[[#This Row],[COGS-MC_US]]&gt;=0,DataTable[[#This Row],[Manufacturing Price]],DataTable[[#This Row],[COGS]]/DataTable[[#This Row],[Units Sold]])</f>
        <v>5</v>
      </c>
    </row>
    <row r="373" spans="1:19" ht="12.75" x14ac:dyDescent="0.2">
      <c r="A373" s="20">
        <v>41548</v>
      </c>
      <c r="B373" t="s">
        <v>391</v>
      </c>
      <c r="C373" t="s">
        <v>388</v>
      </c>
      <c r="D373" t="s">
        <v>305</v>
      </c>
      <c r="E373" t="str">
        <f>VLOOKUP(DataTable[[#This Row],[Country]],Market!B:C,2,FALSE)</f>
        <v>Europe</v>
      </c>
      <c r="F373" s="24">
        <v>5</v>
      </c>
      <c r="G373" s="24">
        <v>29920</v>
      </c>
      <c r="H373" s="24">
        <v>20</v>
      </c>
      <c r="I373" s="27">
        <v>2992</v>
      </c>
      <c r="J373" s="24">
        <v>59840</v>
      </c>
      <c r="K373" s="24">
        <v>6582.4</v>
      </c>
      <c r="L373" s="1" t="s">
        <v>158</v>
      </c>
      <c r="M373" s="24">
        <v>53257.599999999999</v>
      </c>
      <c r="N373" s="24">
        <f t="shared" si="5"/>
        <v>23337.599999999999</v>
      </c>
      <c r="O373" t="str">
        <f>IF(DataTable[[#This Row],[Profit]]/DataTable[[#This Row],[COGS]]*100&gt;20,"Achived","Not Achived")</f>
        <v>Achived</v>
      </c>
      <c r="P373" s="25">
        <f>DataTable[[#This Row],[Profit]]/DataTable[[#This Row],[COGS]]</f>
        <v>0.77999999999999992</v>
      </c>
      <c r="Q373">
        <f>DataTable[[#This Row],[Manufacturing Price]]*DataTable[[#This Row],[Units Sold]]</f>
        <v>14960</v>
      </c>
      <c r="R373" s="26">
        <f>DataTable[[#This Row],[COGS]]-DataTable[[#This Row],[MC_US]]</f>
        <v>14960</v>
      </c>
      <c r="S373" s="26">
        <f>IF(DataTable[[#This Row],[COGS-MC_US]]&gt;=0,DataTable[[#This Row],[Manufacturing Price]],DataTable[[#This Row],[COGS]]/DataTable[[#This Row],[Units Sold]])</f>
        <v>5</v>
      </c>
    </row>
    <row r="374" spans="1:19" ht="12.75" x14ac:dyDescent="0.2">
      <c r="A374" s="20">
        <v>41548</v>
      </c>
      <c r="B374" t="s">
        <v>395</v>
      </c>
      <c r="C374" t="s">
        <v>388</v>
      </c>
      <c r="D374" t="s">
        <v>305</v>
      </c>
      <c r="E374" t="str">
        <f>VLOOKUP(DataTable[[#This Row],[Country]],Market!B:C,2,FALSE)</f>
        <v>Europe</v>
      </c>
      <c r="F374" s="24">
        <v>10</v>
      </c>
      <c r="G374" s="24">
        <v>29920</v>
      </c>
      <c r="H374" s="24">
        <v>20</v>
      </c>
      <c r="I374" s="27">
        <v>2992</v>
      </c>
      <c r="J374" s="24">
        <v>59840</v>
      </c>
      <c r="K374" s="24">
        <v>6582.4</v>
      </c>
      <c r="L374" s="1" t="s">
        <v>158</v>
      </c>
      <c r="M374" s="24">
        <v>53257.599999999999</v>
      </c>
      <c r="N374" s="24">
        <f t="shared" si="5"/>
        <v>23337.599999999999</v>
      </c>
      <c r="O374" t="str">
        <f>IF(DataTable[[#This Row],[Profit]]/DataTable[[#This Row],[COGS]]*100&gt;20,"Achived","Not Achived")</f>
        <v>Achived</v>
      </c>
      <c r="P374" s="25">
        <f>DataTable[[#This Row],[Profit]]/DataTable[[#This Row],[COGS]]</f>
        <v>0.77999999999999992</v>
      </c>
      <c r="Q374">
        <f>DataTable[[#This Row],[Manufacturing Price]]*DataTable[[#This Row],[Units Sold]]</f>
        <v>29920</v>
      </c>
      <c r="R374" s="26">
        <f>DataTable[[#This Row],[COGS]]-DataTable[[#This Row],[MC_US]]</f>
        <v>0</v>
      </c>
      <c r="S374" s="26">
        <f>IF(DataTable[[#This Row],[COGS-MC_US]]&gt;=0,DataTable[[#This Row],[Manufacturing Price]],DataTable[[#This Row],[COGS]]/DataTable[[#This Row],[Units Sold]])</f>
        <v>10</v>
      </c>
    </row>
    <row r="375" spans="1:19" ht="12.75" x14ac:dyDescent="0.2">
      <c r="A375" s="20">
        <v>41974</v>
      </c>
      <c r="B375" t="s">
        <v>395</v>
      </c>
      <c r="C375" t="s">
        <v>388</v>
      </c>
      <c r="D375" t="s">
        <v>305</v>
      </c>
      <c r="E375" t="str">
        <f>VLOOKUP(DataTable[[#This Row],[Country]],Market!B:C,2,FALSE)</f>
        <v>Europe</v>
      </c>
      <c r="F375" s="24">
        <v>10</v>
      </c>
      <c r="G375" s="24">
        <v>15310</v>
      </c>
      <c r="H375" s="24">
        <v>20</v>
      </c>
      <c r="I375" s="27">
        <v>1531</v>
      </c>
      <c r="J375" s="24">
        <v>30620</v>
      </c>
      <c r="K375" s="24">
        <v>3674.4</v>
      </c>
      <c r="L375" s="1" t="s">
        <v>158</v>
      </c>
      <c r="M375" s="24">
        <v>26945.599999999999</v>
      </c>
      <c r="N375" s="24">
        <f t="shared" si="5"/>
        <v>11635.599999999999</v>
      </c>
      <c r="O375" t="str">
        <f>IF(DataTable[[#This Row],[Profit]]/DataTable[[#This Row],[COGS]]*100&gt;20,"Achived","Not Achived")</f>
        <v>Achived</v>
      </c>
      <c r="P375" s="25">
        <f>DataTable[[#This Row],[Profit]]/DataTable[[#This Row],[COGS]]</f>
        <v>0.7599999999999999</v>
      </c>
      <c r="Q375">
        <f>DataTable[[#This Row],[Manufacturing Price]]*DataTable[[#This Row],[Units Sold]]</f>
        <v>15310</v>
      </c>
      <c r="R375" s="26">
        <f>DataTable[[#This Row],[COGS]]-DataTable[[#This Row],[MC_US]]</f>
        <v>0</v>
      </c>
      <c r="S375" s="26">
        <f>IF(DataTable[[#This Row],[COGS-MC_US]]&gt;=0,DataTable[[#This Row],[Manufacturing Price]],DataTable[[#This Row],[COGS]]/DataTable[[#This Row],[Units Sold]])</f>
        <v>10</v>
      </c>
    </row>
    <row r="376" spans="1:19" ht="12.75" x14ac:dyDescent="0.2">
      <c r="A376" s="20">
        <v>41974</v>
      </c>
      <c r="B376" t="s">
        <v>397</v>
      </c>
      <c r="C376" t="s">
        <v>388</v>
      </c>
      <c r="D376" t="s">
        <v>305</v>
      </c>
      <c r="E376" t="str">
        <f>VLOOKUP(DataTable[[#This Row],[Country]],Market!B:C,2,FALSE)</f>
        <v>Europe</v>
      </c>
      <c r="F376" s="24">
        <v>250</v>
      </c>
      <c r="G376" s="24">
        <v>15310</v>
      </c>
      <c r="H376" s="24">
        <v>20</v>
      </c>
      <c r="I376" s="27">
        <v>1531</v>
      </c>
      <c r="J376" s="24">
        <v>30620</v>
      </c>
      <c r="K376" s="24">
        <v>3674.4</v>
      </c>
      <c r="L376" s="1" t="s">
        <v>158</v>
      </c>
      <c r="M376" s="24">
        <v>26945.599999999999</v>
      </c>
      <c r="N376" s="24">
        <f t="shared" si="5"/>
        <v>11635.599999999999</v>
      </c>
      <c r="O376" t="str">
        <f>IF(DataTable[[#This Row],[Profit]]/DataTable[[#This Row],[COGS]]*100&gt;20,"Achived","Not Achived")</f>
        <v>Achived</v>
      </c>
      <c r="P376" s="25">
        <f>DataTable[[#This Row],[Profit]]/DataTable[[#This Row],[COGS]]</f>
        <v>0.7599999999999999</v>
      </c>
      <c r="Q376">
        <f>DataTable[[#This Row],[Manufacturing Price]]*DataTable[[#This Row],[Units Sold]]</f>
        <v>382750</v>
      </c>
      <c r="R376" s="26">
        <f>DataTable[[#This Row],[COGS]]-DataTable[[#This Row],[MC_US]]</f>
        <v>-367440</v>
      </c>
      <c r="S376" s="26">
        <f>IF(DataTable[[#This Row],[COGS-MC_US]]&gt;=0,DataTable[[#This Row],[Manufacturing Price]],DataTable[[#This Row],[COGS]]/DataTable[[#This Row],[Units Sold]])</f>
        <v>10</v>
      </c>
    </row>
    <row r="377" spans="1:19" ht="12.75" x14ac:dyDescent="0.2">
      <c r="A377" s="20">
        <v>41518</v>
      </c>
      <c r="B377" t="s">
        <v>389</v>
      </c>
      <c r="C377" t="s">
        <v>388</v>
      </c>
      <c r="D377" t="s">
        <v>305</v>
      </c>
      <c r="E377" t="str">
        <f>VLOOKUP(DataTable[[#This Row],[Country]],Market!B:C,2,FALSE)</f>
        <v>Europe</v>
      </c>
      <c r="F377" s="24">
        <v>3</v>
      </c>
      <c r="G377" s="24">
        <v>4420</v>
      </c>
      <c r="H377" s="24">
        <v>20</v>
      </c>
      <c r="I377" s="27">
        <v>442</v>
      </c>
      <c r="J377" s="24">
        <v>8840</v>
      </c>
      <c r="K377" s="24">
        <v>1149.2</v>
      </c>
      <c r="L377" s="1" t="s">
        <v>158</v>
      </c>
      <c r="M377" s="24">
        <v>7690.8</v>
      </c>
      <c r="N377" s="24">
        <f t="shared" si="5"/>
        <v>3270.8</v>
      </c>
      <c r="O377" t="str">
        <f>IF(DataTable[[#This Row],[Profit]]/DataTable[[#This Row],[COGS]]*100&gt;20,"Achived","Not Achived")</f>
        <v>Achived</v>
      </c>
      <c r="P377" s="25">
        <f>DataTable[[#This Row],[Profit]]/DataTable[[#This Row],[COGS]]</f>
        <v>0.74</v>
      </c>
      <c r="Q377">
        <f>DataTable[[#This Row],[Manufacturing Price]]*DataTable[[#This Row],[Units Sold]]</f>
        <v>1326</v>
      </c>
      <c r="R377" s="26">
        <f>DataTable[[#This Row],[COGS]]-DataTable[[#This Row],[MC_US]]</f>
        <v>3094</v>
      </c>
      <c r="S377" s="26">
        <f>IF(DataTable[[#This Row],[COGS-MC_US]]&gt;=0,DataTable[[#This Row],[Manufacturing Price]],DataTable[[#This Row],[COGS]]/DataTable[[#This Row],[Units Sold]])</f>
        <v>3</v>
      </c>
    </row>
    <row r="378" spans="1:19" ht="12.75" x14ac:dyDescent="0.2">
      <c r="A378" s="20">
        <v>41671</v>
      </c>
      <c r="B378" t="s">
        <v>395</v>
      </c>
      <c r="C378" t="s">
        <v>388</v>
      </c>
      <c r="D378" t="s">
        <v>305</v>
      </c>
      <c r="E378" t="str">
        <f>VLOOKUP(DataTable[[#This Row],[Country]],Market!B:C,2,FALSE)</f>
        <v>Europe</v>
      </c>
      <c r="F378" s="24">
        <v>10</v>
      </c>
      <c r="G378" s="24">
        <v>27080</v>
      </c>
      <c r="H378" s="24">
        <v>20</v>
      </c>
      <c r="I378" s="27">
        <v>2708</v>
      </c>
      <c r="J378" s="24">
        <v>54160</v>
      </c>
      <c r="K378" s="24">
        <v>7040.8</v>
      </c>
      <c r="L378" s="1" t="s">
        <v>158</v>
      </c>
      <c r="M378" s="24">
        <v>47119.199999999997</v>
      </c>
      <c r="N378" s="24">
        <f t="shared" si="5"/>
        <v>20039.199999999997</v>
      </c>
      <c r="O378" t="str">
        <f>IF(DataTable[[#This Row],[Profit]]/DataTable[[#This Row],[COGS]]*100&gt;20,"Achived","Not Achived")</f>
        <v>Achived</v>
      </c>
      <c r="P378" s="25">
        <f>DataTable[[#This Row],[Profit]]/DataTable[[#This Row],[COGS]]</f>
        <v>0.73999999999999988</v>
      </c>
      <c r="Q378">
        <f>DataTable[[#This Row],[Manufacturing Price]]*DataTable[[#This Row],[Units Sold]]</f>
        <v>27080</v>
      </c>
      <c r="R378" s="26">
        <f>DataTable[[#This Row],[COGS]]-DataTable[[#This Row],[MC_US]]</f>
        <v>0</v>
      </c>
      <c r="S378" s="26">
        <f>IF(DataTable[[#This Row],[COGS-MC_US]]&gt;=0,DataTable[[#This Row],[Manufacturing Price]],DataTable[[#This Row],[COGS]]/DataTable[[#This Row],[Units Sold]])</f>
        <v>10</v>
      </c>
    </row>
    <row r="379" spans="1:19" ht="12.75" x14ac:dyDescent="0.2">
      <c r="A379" s="20">
        <v>41944</v>
      </c>
      <c r="B379" t="s">
        <v>395</v>
      </c>
      <c r="C379" t="s">
        <v>388</v>
      </c>
      <c r="D379" t="s">
        <v>305</v>
      </c>
      <c r="E379" t="str">
        <f>VLOOKUP(DataTable[[#This Row],[Country]],Market!B:C,2,FALSE)</f>
        <v>Europe</v>
      </c>
      <c r="F379" s="24">
        <v>10</v>
      </c>
      <c r="G379" s="24">
        <v>92820</v>
      </c>
      <c r="H379" s="24">
        <v>350</v>
      </c>
      <c r="I379" s="27">
        <v>357</v>
      </c>
      <c r="J379" s="24">
        <v>124950</v>
      </c>
      <c r="K379" s="24">
        <v>16243.5</v>
      </c>
      <c r="L379" s="1" t="s">
        <v>158</v>
      </c>
      <c r="M379" s="24">
        <v>108706.5</v>
      </c>
      <c r="N379" s="24">
        <f t="shared" si="5"/>
        <v>15886.5</v>
      </c>
      <c r="O379" t="str">
        <f>IF(DataTable[[#This Row],[Profit]]/DataTable[[#This Row],[COGS]]*100&gt;20,"Achived","Not Achived")</f>
        <v>Not Achived</v>
      </c>
      <c r="P379" s="25">
        <f>DataTable[[#This Row],[Profit]]/DataTable[[#This Row],[COGS]]</f>
        <v>0.17115384615384616</v>
      </c>
      <c r="Q379">
        <f>DataTable[[#This Row],[Manufacturing Price]]*DataTable[[#This Row],[Units Sold]]</f>
        <v>3570</v>
      </c>
      <c r="R379" s="26">
        <f>DataTable[[#This Row],[COGS]]-DataTable[[#This Row],[MC_US]]</f>
        <v>89250</v>
      </c>
      <c r="S379" s="26">
        <f>IF(DataTable[[#This Row],[COGS-MC_US]]&gt;=0,DataTable[[#This Row],[Manufacturing Price]],DataTable[[#This Row],[COGS]]/DataTable[[#This Row],[Units Sold]])</f>
        <v>10</v>
      </c>
    </row>
    <row r="380" spans="1:19" ht="12.75" x14ac:dyDescent="0.2">
      <c r="A380" s="20">
        <v>41974</v>
      </c>
      <c r="B380" t="s">
        <v>389</v>
      </c>
      <c r="C380" t="s">
        <v>388</v>
      </c>
      <c r="D380" t="s">
        <v>305</v>
      </c>
      <c r="E380" t="str">
        <f>VLOOKUP(DataTable[[#This Row],[Country]],Market!B:C,2,FALSE)</f>
        <v>Europe</v>
      </c>
      <c r="F380" s="24">
        <v>3</v>
      </c>
      <c r="G380" s="24">
        <v>1400</v>
      </c>
      <c r="H380" s="24">
        <v>7</v>
      </c>
      <c r="I380" s="27">
        <v>280</v>
      </c>
      <c r="J380" s="24">
        <v>1960</v>
      </c>
      <c r="K380" s="24">
        <v>274.39999999999998</v>
      </c>
      <c r="L380" s="1" t="s">
        <v>158</v>
      </c>
      <c r="M380" s="24">
        <v>1685.6</v>
      </c>
      <c r="N380" s="24">
        <f t="shared" si="5"/>
        <v>285.59999999999991</v>
      </c>
      <c r="O380" t="str">
        <f>IF(DataTable[[#This Row],[Profit]]/DataTable[[#This Row],[COGS]]*100&gt;20,"Achived","Not Achived")</f>
        <v>Achived</v>
      </c>
      <c r="P380" s="25">
        <f>DataTable[[#This Row],[Profit]]/DataTable[[#This Row],[COGS]]</f>
        <v>0.20399999999999993</v>
      </c>
      <c r="Q380">
        <f>DataTable[[#This Row],[Manufacturing Price]]*DataTable[[#This Row],[Units Sold]]</f>
        <v>840</v>
      </c>
      <c r="R380" s="26">
        <f>DataTable[[#This Row],[COGS]]-DataTable[[#This Row],[MC_US]]</f>
        <v>560</v>
      </c>
      <c r="S380" s="26">
        <f>IF(DataTable[[#This Row],[COGS-MC_US]]&gt;=0,DataTable[[#This Row],[Manufacturing Price]],DataTable[[#This Row],[COGS]]/DataTable[[#This Row],[Units Sold]])</f>
        <v>3</v>
      </c>
    </row>
    <row r="381" spans="1:19" ht="12.75" x14ac:dyDescent="0.2">
      <c r="A381" s="20">
        <v>41974</v>
      </c>
      <c r="B381" t="s">
        <v>397</v>
      </c>
      <c r="C381" t="s">
        <v>388</v>
      </c>
      <c r="D381" t="s">
        <v>305</v>
      </c>
      <c r="E381" t="str">
        <f>VLOOKUP(DataTable[[#This Row],[Country]],Market!B:C,2,FALSE)</f>
        <v>Europe</v>
      </c>
      <c r="F381" s="24">
        <v>250</v>
      </c>
      <c r="G381" s="24">
        <v>1400</v>
      </c>
      <c r="H381" s="24">
        <v>7</v>
      </c>
      <c r="I381" s="27">
        <v>280</v>
      </c>
      <c r="J381" s="24">
        <v>1960</v>
      </c>
      <c r="K381" s="24">
        <v>274.39999999999998</v>
      </c>
      <c r="L381" s="1" t="s">
        <v>158</v>
      </c>
      <c r="M381" s="24">
        <v>1685.6</v>
      </c>
      <c r="N381" s="24">
        <f t="shared" si="5"/>
        <v>285.59999999999991</v>
      </c>
      <c r="O381" t="str">
        <f>IF(DataTable[[#This Row],[Profit]]/DataTable[[#This Row],[COGS]]*100&gt;20,"Achived","Not Achived")</f>
        <v>Achived</v>
      </c>
      <c r="P381" s="25">
        <f>DataTable[[#This Row],[Profit]]/DataTable[[#This Row],[COGS]]</f>
        <v>0.20399999999999993</v>
      </c>
      <c r="Q381">
        <f>DataTable[[#This Row],[Manufacturing Price]]*DataTable[[#This Row],[Units Sold]]</f>
        <v>70000</v>
      </c>
      <c r="R381" s="26">
        <f>DataTable[[#This Row],[COGS]]-DataTable[[#This Row],[MC_US]]</f>
        <v>-68600</v>
      </c>
      <c r="S381" s="26">
        <f>IF(DataTable[[#This Row],[COGS-MC_US]]&gt;=0,DataTable[[#This Row],[Manufacturing Price]],DataTable[[#This Row],[COGS]]/DataTable[[#This Row],[Units Sold]])</f>
        <v>5</v>
      </c>
    </row>
    <row r="382" spans="1:19" ht="12.75" x14ac:dyDescent="0.2">
      <c r="A382" s="20">
        <v>41730</v>
      </c>
      <c r="B382" t="s">
        <v>391</v>
      </c>
      <c r="C382" t="s">
        <v>388</v>
      </c>
      <c r="D382" t="s">
        <v>305</v>
      </c>
      <c r="E382" t="str">
        <f>VLOOKUP(DataTable[[#This Row],[Country]],Market!B:C,2,FALSE)</f>
        <v>Europe</v>
      </c>
      <c r="F382" s="24">
        <v>5</v>
      </c>
      <c r="G382" s="24">
        <v>311740</v>
      </c>
      <c r="H382" s="24">
        <v>350</v>
      </c>
      <c r="I382" s="27">
        <v>1199</v>
      </c>
      <c r="J382" s="24">
        <v>419650</v>
      </c>
      <c r="K382" s="24">
        <v>58751</v>
      </c>
      <c r="L382" s="1" t="s">
        <v>158</v>
      </c>
      <c r="M382" s="24">
        <v>360899</v>
      </c>
      <c r="N382" s="24">
        <f t="shared" si="5"/>
        <v>49159</v>
      </c>
      <c r="O382" t="str">
        <f>IF(DataTable[[#This Row],[Profit]]/DataTable[[#This Row],[COGS]]*100&gt;20,"Achived","Not Achived")</f>
        <v>Not Achived</v>
      </c>
      <c r="P382" s="25">
        <f>DataTable[[#This Row],[Profit]]/DataTable[[#This Row],[COGS]]</f>
        <v>0.15769230769230769</v>
      </c>
      <c r="Q382">
        <f>DataTable[[#This Row],[Manufacturing Price]]*DataTable[[#This Row],[Units Sold]]</f>
        <v>5995</v>
      </c>
      <c r="R382" s="26">
        <f>DataTable[[#This Row],[COGS]]-DataTable[[#This Row],[MC_US]]</f>
        <v>305745</v>
      </c>
      <c r="S382" s="26">
        <f>IF(DataTable[[#This Row],[COGS-MC_US]]&gt;=0,DataTable[[#This Row],[Manufacturing Price]],DataTable[[#This Row],[COGS]]/DataTable[[#This Row],[Units Sold]])</f>
        <v>5</v>
      </c>
    </row>
    <row r="383" spans="1:19" ht="12.75" x14ac:dyDescent="0.2">
      <c r="A383" s="20">
        <v>41699</v>
      </c>
      <c r="B383" t="s">
        <v>395</v>
      </c>
      <c r="C383" t="s">
        <v>388</v>
      </c>
      <c r="D383" t="s">
        <v>305</v>
      </c>
      <c r="E383" t="str">
        <f>VLOOKUP(DataTable[[#This Row],[Country]],Market!B:C,2,FALSE)</f>
        <v>Europe</v>
      </c>
      <c r="F383" s="24">
        <v>10</v>
      </c>
      <c r="G383" s="24">
        <v>11580</v>
      </c>
      <c r="H383" s="24">
        <v>20</v>
      </c>
      <c r="I383" s="27">
        <v>1158</v>
      </c>
      <c r="J383" s="24">
        <v>23160</v>
      </c>
      <c r="K383" s="24">
        <v>3474</v>
      </c>
      <c r="L383" s="1" t="s">
        <v>158</v>
      </c>
      <c r="M383" s="24">
        <v>19686</v>
      </c>
      <c r="N383" s="24">
        <f t="shared" si="5"/>
        <v>8106</v>
      </c>
      <c r="O383" t="str">
        <f>IF(DataTable[[#This Row],[Profit]]/DataTable[[#This Row],[COGS]]*100&gt;20,"Achived","Not Achived")</f>
        <v>Achived</v>
      </c>
      <c r="P383" s="25">
        <f>DataTable[[#This Row],[Profit]]/DataTable[[#This Row],[COGS]]</f>
        <v>0.7</v>
      </c>
      <c r="Q383">
        <f>DataTable[[#This Row],[Manufacturing Price]]*DataTable[[#This Row],[Units Sold]]</f>
        <v>11580</v>
      </c>
      <c r="R383" s="26">
        <f>DataTable[[#This Row],[COGS]]-DataTable[[#This Row],[MC_US]]</f>
        <v>0</v>
      </c>
      <c r="S383" s="26">
        <f>IF(DataTable[[#This Row],[COGS-MC_US]]&gt;=0,DataTable[[#This Row],[Manufacturing Price]],DataTable[[#This Row],[COGS]]/DataTable[[#This Row],[Units Sold]])</f>
        <v>10</v>
      </c>
    </row>
    <row r="384" spans="1:19" ht="12.75" hidden="1" x14ac:dyDescent="0.2">
      <c r="A384" s="20">
        <v>41791</v>
      </c>
      <c r="B384" t="s">
        <v>391</v>
      </c>
      <c r="C384" t="s">
        <v>388</v>
      </c>
      <c r="D384" t="s">
        <v>304</v>
      </c>
      <c r="E384" t="str">
        <f>VLOOKUP(DataTable[[#This Row],[Country]],Market!B:C,2,FALSE)</f>
        <v>Europe</v>
      </c>
      <c r="F384" s="24">
        <v>5</v>
      </c>
      <c r="G384" s="24">
        <v>18990</v>
      </c>
      <c r="H384" s="24">
        <v>20</v>
      </c>
      <c r="I384" s="27">
        <v>1899</v>
      </c>
      <c r="J384" s="24">
        <v>37980</v>
      </c>
      <c r="K384" s="24">
        <v>0</v>
      </c>
      <c r="L384" s="1" t="s">
        <v>12</v>
      </c>
      <c r="M384" s="24">
        <v>37980</v>
      </c>
      <c r="N384" s="24">
        <f t="shared" si="5"/>
        <v>18990</v>
      </c>
      <c r="O384" t="str">
        <f>IF(DataTable[[#This Row],[Profit]]/DataTable[[#This Row],[COGS]]*100&gt;20,"Achived","Not Achived")</f>
        <v>Achived</v>
      </c>
      <c r="P384" s="25">
        <f>DataTable[[#This Row],[Profit]]/DataTable[[#This Row],[COGS]]</f>
        <v>1</v>
      </c>
      <c r="Q384">
        <f>DataTable[[#This Row],[Manufacturing Price]]*DataTable[[#This Row],[Units Sold]]</f>
        <v>9495</v>
      </c>
      <c r="R384" s="26">
        <f>DataTable[[#This Row],[COGS]]-DataTable[[#This Row],[MC_US]]</f>
        <v>9495</v>
      </c>
      <c r="S384" s="26">
        <f>IF(DataTable[[#This Row],[COGS-MC_US]]&gt;=0,DataTable[[#This Row],[Manufacturing Price]],DataTable[[#This Row],[COGS]]/DataTable[[#This Row],[Units Sold]])</f>
        <v>5</v>
      </c>
    </row>
    <row r="385" spans="1:19" ht="12.75" hidden="1" x14ac:dyDescent="0.2">
      <c r="A385" s="20">
        <v>41518</v>
      </c>
      <c r="B385" t="s">
        <v>397</v>
      </c>
      <c r="C385" t="s">
        <v>388</v>
      </c>
      <c r="D385" t="s">
        <v>304</v>
      </c>
      <c r="E385" t="str">
        <f>VLOOKUP(DataTable[[#This Row],[Country]],Market!B:C,2,FALSE)</f>
        <v>Europe</v>
      </c>
      <c r="F385" s="24">
        <v>250</v>
      </c>
      <c r="G385" s="24">
        <v>397020</v>
      </c>
      <c r="H385" s="24">
        <v>350</v>
      </c>
      <c r="I385" s="27">
        <v>1527</v>
      </c>
      <c r="J385" s="24">
        <v>534450</v>
      </c>
      <c r="K385" s="24">
        <v>0</v>
      </c>
      <c r="L385" s="1" t="s">
        <v>12</v>
      </c>
      <c r="M385" s="24">
        <v>534450</v>
      </c>
      <c r="N385" s="24">
        <f t="shared" si="5"/>
        <v>137430</v>
      </c>
      <c r="O385" t="str">
        <f>IF(DataTable[[#This Row],[Profit]]/DataTable[[#This Row],[COGS]]*100&gt;20,"Achived","Not Achived")</f>
        <v>Achived</v>
      </c>
      <c r="P385" s="25">
        <f>DataTable[[#This Row],[Profit]]/DataTable[[#This Row],[COGS]]</f>
        <v>0.34615384615384615</v>
      </c>
      <c r="Q385">
        <f>DataTable[[#This Row],[Manufacturing Price]]*DataTable[[#This Row],[Units Sold]]</f>
        <v>381750</v>
      </c>
      <c r="R385" s="26">
        <f>DataTable[[#This Row],[COGS]]-DataTable[[#This Row],[MC_US]]</f>
        <v>15270</v>
      </c>
      <c r="S385" s="26">
        <f>IF(DataTable[[#This Row],[COGS-MC_US]]&gt;=0,DataTable[[#This Row],[Manufacturing Price]],DataTable[[#This Row],[COGS]]/DataTable[[#This Row],[Units Sold]])</f>
        <v>250</v>
      </c>
    </row>
    <row r="386" spans="1:19" ht="12.75" hidden="1" x14ac:dyDescent="0.2">
      <c r="A386" s="20">
        <v>41671</v>
      </c>
      <c r="B386" t="s">
        <v>398</v>
      </c>
      <c r="C386" t="s">
        <v>388</v>
      </c>
      <c r="D386" t="s">
        <v>304</v>
      </c>
      <c r="E386" t="str">
        <f>VLOOKUP(DataTable[[#This Row],[Country]],Market!B:C,2,FALSE)</f>
        <v>Europe</v>
      </c>
      <c r="F386" s="24">
        <v>260</v>
      </c>
      <c r="G386" s="24">
        <v>715000</v>
      </c>
      <c r="H386" s="24">
        <v>350</v>
      </c>
      <c r="I386" s="27">
        <v>2750</v>
      </c>
      <c r="J386" s="24">
        <v>962500</v>
      </c>
      <c r="K386" s="24">
        <v>0</v>
      </c>
      <c r="L386" s="1" t="s">
        <v>12</v>
      </c>
      <c r="M386" s="24">
        <v>962500</v>
      </c>
      <c r="N386" s="24">
        <f t="shared" si="5"/>
        <v>247500</v>
      </c>
      <c r="O386" t="str">
        <f>IF(DataTable[[#This Row],[Profit]]/DataTable[[#This Row],[COGS]]*100&gt;20,"Achived","Not Achived")</f>
        <v>Achived</v>
      </c>
      <c r="P386" s="25">
        <f>DataTable[[#This Row],[Profit]]/DataTable[[#This Row],[COGS]]</f>
        <v>0.34615384615384615</v>
      </c>
      <c r="Q386">
        <f>DataTable[[#This Row],[Manufacturing Price]]*DataTable[[#This Row],[Units Sold]]</f>
        <v>715000</v>
      </c>
      <c r="R386" s="26">
        <f>DataTable[[#This Row],[COGS]]-DataTable[[#This Row],[MC_US]]</f>
        <v>0</v>
      </c>
      <c r="S386" s="26">
        <f>IF(DataTable[[#This Row],[COGS-MC_US]]&gt;=0,DataTable[[#This Row],[Manufacturing Price]],DataTable[[#This Row],[COGS]]/DataTable[[#This Row],[Units Sold]])</f>
        <v>260</v>
      </c>
    </row>
    <row r="387" spans="1:19" ht="12.75" hidden="1" x14ac:dyDescent="0.2">
      <c r="A387" s="20">
        <v>41791</v>
      </c>
      <c r="B387" t="s">
        <v>398</v>
      </c>
      <c r="C387" t="s">
        <v>388</v>
      </c>
      <c r="D387" t="s">
        <v>304</v>
      </c>
      <c r="E387" t="str">
        <f>VLOOKUP(DataTable[[#This Row],[Country]],Market!B:C,2,FALSE)</f>
        <v>Europe</v>
      </c>
      <c r="F387" s="24">
        <v>260</v>
      </c>
      <c r="G387" s="24">
        <v>18990</v>
      </c>
      <c r="H387" s="24">
        <v>20</v>
      </c>
      <c r="I387" s="27">
        <v>1899</v>
      </c>
      <c r="J387" s="24">
        <v>37980</v>
      </c>
      <c r="K387" s="24">
        <v>0</v>
      </c>
      <c r="L387" s="1" t="s">
        <v>12</v>
      </c>
      <c r="M387" s="24">
        <v>37980</v>
      </c>
      <c r="N387" s="24">
        <f t="shared" si="5"/>
        <v>18990</v>
      </c>
      <c r="O387" t="str">
        <f>IF(DataTable[[#This Row],[Profit]]/DataTable[[#This Row],[COGS]]*100&gt;20,"Achived","Not Achived")</f>
        <v>Achived</v>
      </c>
      <c r="P387" s="25">
        <f>DataTable[[#This Row],[Profit]]/DataTable[[#This Row],[COGS]]</f>
        <v>1</v>
      </c>
      <c r="Q387">
        <f>DataTable[[#This Row],[Manufacturing Price]]*DataTable[[#This Row],[Units Sold]]</f>
        <v>493740</v>
      </c>
      <c r="R387" s="26">
        <f>DataTable[[#This Row],[COGS]]-DataTable[[#This Row],[MC_US]]</f>
        <v>-474750</v>
      </c>
      <c r="S387" s="26">
        <f>IF(DataTable[[#This Row],[COGS-MC_US]]&gt;=0,DataTable[[#This Row],[Manufacturing Price]],DataTable[[#This Row],[COGS]]/DataTable[[#This Row],[Units Sold]])</f>
        <v>10</v>
      </c>
    </row>
    <row r="388" spans="1:19" ht="12.75" hidden="1" x14ac:dyDescent="0.2">
      <c r="A388" s="20">
        <v>41640</v>
      </c>
      <c r="B388" t="s">
        <v>395</v>
      </c>
      <c r="C388" t="s">
        <v>388</v>
      </c>
      <c r="D388" t="s">
        <v>304</v>
      </c>
      <c r="E388" t="str">
        <f>VLOOKUP(DataTable[[#This Row],[Country]],Market!B:C,2,FALSE)</f>
        <v>Europe</v>
      </c>
      <c r="F388" s="24">
        <v>10</v>
      </c>
      <c r="G388" s="24">
        <v>19725</v>
      </c>
      <c r="H388" s="24">
        <v>7</v>
      </c>
      <c r="I388" s="27">
        <v>3945</v>
      </c>
      <c r="J388" s="24">
        <v>27615</v>
      </c>
      <c r="K388" s="24">
        <v>276.14999999999998</v>
      </c>
      <c r="L388" s="1" t="s">
        <v>57</v>
      </c>
      <c r="M388" s="24">
        <v>27338.85</v>
      </c>
      <c r="N388" s="24">
        <f t="shared" ref="N388:N451" si="6">M388-G388</f>
        <v>7613.8499999999985</v>
      </c>
      <c r="O388" t="str">
        <f>IF(DataTable[[#This Row],[Profit]]/DataTable[[#This Row],[COGS]]*100&gt;20,"Achived","Not Achived")</f>
        <v>Achived</v>
      </c>
      <c r="P388" s="25">
        <f>DataTable[[#This Row],[Profit]]/DataTable[[#This Row],[COGS]]</f>
        <v>0.3859999999999999</v>
      </c>
      <c r="Q388">
        <f>DataTable[[#This Row],[Manufacturing Price]]*DataTable[[#This Row],[Units Sold]]</f>
        <v>39450</v>
      </c>
      <c r="R388" s="26">
        <f>DataTable[[#This Row],[COGS]]-DataTable[[#This Row],[MC_US]]</f>
        <v>-19725</v>
      </c>
      <c r="S388" s="26">
        <f>IF(DataTable[[#This Row],[COGS-MC_US]]&gt;=0,DataTable[[#This Row],[Manufacturing Price]],DataTable[[#This Row],[COGS]]/DataTable[[#This Row],[Units Sold]])</f>
        <v>5</v>
      </c>
    </row>
    <row r="389" spans="1:19" ht="12.75" hidden="1" x14ac:dyDescent="0.2">
      <c r="A389" s="20">
        <v>41760</v>
      </c>
      <c r="B389" t="s">
        <v>395</v>
      </c>
      <c r="C389" t="s">
        <v>388</v>
      </c>
      <c r="D389" t="s">
        <v>304</v>
      </c>
      <c r="E389" t="str">
        <f>VLOOKUP(DataTable[[#This Row],[Country]],Market!B:C,2,FALSE)</f>
        <v>Europe</v>
      </c>
      <c r="F389" s="24">
        <v>10</v>
      </c>
      <c r="G389" s="24">
        <v>5150</v>
      </c>
      <c r="H389" s="24">
        <v>7</v>
      </c>
      <c r="I389" s="27">
        <v>1030</v>
      </c>
      <c r="J389" s="24">
        <v>7210</v>
      </c>
      <c r="K389" s="24">
        <v>72.099999999999994</v>
      </c>
      <c r="L389" s="1" t="s">
        <v>57</v>
      </c>
      <c r="M389" s="24">
        <v>7137.9</v>
      </c>
      <c r="N389" s="24">
        <f t="shared" si="6"/>
        <v>1987.8999999999996</v>
      </c>
      <c r="O389" t="str">
        <f>IF(DataTable[[#This Row],[Profit]]/DataTable[[#This Row],[COGS]]*100&gt;20,"Achived","Not Achived")</f>
        <v>Achived</v>
      </c>
      <c r="P389" s="25">
        <f>DataTable[[#This Row],[Profit]]/DataTable[[#This Row],[COGS]]</f>
        <v>0.38599999999999995</v>
      </c>
      <c r="Q389">
        <f>DataTable[[#This Row],[Manufacturing Price]]*DataTable[[#This Row],[Units Sold]]</f>
        <v>10300</v>
      </c>
      <c r="R389" s="26">
        <f>DataTable[[#This Row],[COGS]]-DataTable[[#This Row],[MC_US]]</f>
        <v>-5150</v>
      </c>
      <c r="S389" s="26">
        <f>IF(DataTable[[#This Row],[COGS-MC_US]]&gt;=0,DataTable[[#This Row],[Manufacturing Price]],DataTable[[#This Row],[COGS]]/DataTable[[#This Row],[Units Sold]])</f>
        <v>5</v>
      </c>
    </row>
    <row r="390" spans="1:19" ht="12.75" hidden="1" x14ac:dyDescent="0.2">
      <c r="A390" s="20">
        <v>41944</v>
      </c>
      <c r="B390" t="s">
        <v>396</v>
      </c>
      <c r="C390" t="s">
        <v>388</v>
      </c>
      <c r="D390" t="s">
        <v>304</v>
      </c>
      <c r="E390" t="str">
        <f>VLOOKUP(DataTable[[#This Row],[Country]],Market!B:C,2,FALSE)</f>
        <v>Europe</v>
      </c>
      <c r="F390" s="24">
        <v>120</v>
      </c>
      <c r="G390" s="24">
        <v>3195</v>
      </c>
      <c r="H390" s="24">
        <v>7</v>
      </c>
      <c r="I390" s="27">
        <v>639</v>
      </c>
      <c r="J390" s="24">
        <v>4473</v>
      </c>
      <c r="K390" s="24">
        <v>44.73</v>
      </c>
      <c r="L390" s="1" t="s">
        <v>57</v>
      </c>
      <c r="M390" s="24">
        <v>4428.2700000000004</v>
      </c>
      <c r="N390" s="24">
        <f t="shared" si="6"/>
        <v>1233.2700000000004</v>
      </c>
      <c r="O390" t="str">
        <f>IF(DataTable[[#This Row],[Profit]]/DataTable[[#This Row],[COGS]]*100&gt;20,"Achived","Not Achived")</f>
        <v>Achived</v>
      </c>
      <c r="P390" s="25">
        <f>DataTable[[#This Row],[Profit]]/DataTable[[#This Row],[COGS]]</f>
        <v>0.38600000000000012</v>
      </c>
      <c r="Q390">
        <f>DataTable[[#This Row],[Manufacturing Price]]*DataTable[[#This Row],[Units Sold]]</f>
        <v>76680</v>
      </c>
      <c r="R390" s="26">
        <f>DataTable[[#This Row],[COGS]]-DataTable[[#This Row],[MC_US]]</f>
        <v>-73485</v>
      </c>
      <c r="S390" s="26">
        <f>IF(DataTable[[#This Row],[COGS-MC_US]]&gt;=0,DataTable[[#This Row],[Manufacturing Price]],DataTable[[#This Row],[COGS]]/DataTable[[#This Row],[Units Sold]])</f>
        <v>5</v>
      </c>
    </row>
    <row r="391" spans="1:19" ht="12.75" hidden="1" x14ac:dyDescent="0.2">
      <c r="A391" s="20">
        <v>41974</v>
      </c>
      <c r="B391" t="s">
        <v>389</v>
      </c>
      <c r="C391" t="s">
        <v>388</v>
      </c>
      <c r="D391" t="s">
        <v>304</v>
      </c>
      <c r="E391" t="str">
        <f>VLOOKUP(DataTable[[#This Row],[Country]],Market!B:C,2,FALSE)</f>
        <v>Europe</v>
      </c>
      <c r="F391" s="24">
        <v>3</v>
      </c>
      <c r="G391" s="24">
        <v>560300</v>
      </c>
      <c r="H391" s="24">
        <v>350</v>
      </c>
      <c r="I391" s="27">
        <v>2155</v>
      </c>
      <c r="J391" s="24">
        <v>754250</v>
      </c>
      <c r="K391" s="24">
        <v>7542.5</v>
      </c>
      <c r="L391" s="1" t="s">
        <v>57</v>
      </c>
      <c r="M391" s="24">
        <v>746707.5</v>
      </c>
      <c r="N391" s="24">
        <f t="shared" si="6"/>
        <v>186407.5</v>
      </c>
      <c r="O391" t="str">
        <f>IF(DataTable[[#This Row],[Profit]]/DataTable[[#This Row],[COGS]]*100&gt;20,"Achived","Not Achived")</f>
        <v>Achived</v>
      </c>
      <c r="P391" s="25">
        <f>DataTable[[#This Row],[Profit]]/DataTable[[#This Row],[COGS]]</f>
        <v>0.33269230769230768</v>
      </c>
      <c r="Q391">
        <f>DataTable[[#This Row],[Manufacturing Price]]*DataTable[[#This Row],[Units Sold]]</f>
        <v>6465</v>
      </c>
      <c r="R391" s="26">
        <f>DataTable[[#This Row],[COGS]]-DataTable[[#This Row],[MC_US]]</f>
        <v>553835</v>
      </c>
      <c r="S391" s="26">
        <f>IF(DataTable[[#This Row],[COGS-MC_US]]&gt;=0,DataTable[[#This Row],[Manufacturing Price]],DataTable[[#This Row],[COGS]]/DataTable[[#This Row],[Units Sold]])</f>
        <v>3</v>
      </c>
    </row>
    <row r="392" spans="1:19" ht="12.75" hidden="1" x14ac:dyDescent="0.2">
      <c r="A392" s="20">
        <v>41821</v>
      </c>
      <c r="B392" t="s">
        <v>391</v>
      </c>
      <c r="C392" t="s">
        <v>388</v>
      </c>
      <c r="D392" t="s">
        <v>304</v>
      </c>
      <c r="E392" t="str">
        <f>VLOOKUP(DataTable[[#This Row],[Country]],Market!B:C,2,FALSE)</f>
        <v>Europe</v>
      </c>
      <c r="F392" s="24">
        <v>5</v>
      </c>
      <c r="G392" s="24">
        <v>13755</v>
      </c>
      <c r="H392" s="24">
        <v>20</v>
      </c>
      <c r="I392" s="27">
        <v>1375.5</v>
      </c>
      <c r="J392" s="24">
        <v>27510</v>
      </c>
      <c r="K392" s="24">
        <v>275.10000000000002</v>
      </c>
      <c r="L392" s="1" t="s">
        <v>57</v>
      </c>
      <c r="M392" s="24">
        <v>27234.9</v>
      </c>
      <c r="N392" s="24">
        <f t="shared" si="6"/>
        <v>13479.900000000001</v>
      </c>
      <c r="O392" t="str">
        <f>IF(DataTable[[#This Row],[Profit]]/DataTable[[#This Row],[COGS]]*100&gt;20,"Achived","Not Achived")</f>
        <v>Achived</v>
      </c>
      <c r="P392" s="25">
        <f>DataTable[[#This Row],[Profit]]/DataTable[[#This Row],[COGS]]</f>
        <v>0.98000000000000009</v>
      </c>
      <c r="Q392">
        <f>DataTable[[#This Row],[Manufacturing Price]]*DataTable[[#This Row],[Units Sold]]</f>
        <v>6877.5</v>
      </c>
      <c r="R392" s="26">
        <f>DataTable[[#This Row],[COGS]]-DataTable[[#This Row],[MC_US]]</f>
        <v>6877.5</v>
      </c>
      <c r="S392" s="26">
        <f>IF(DataTable[[#This Row],[COGS-MC_US]]&gt;=0,DataTable[[#This Row],[Manufacturing Price]],DataTable[[#This Row],[COGS]]/DataTable[[#This Row],[Units Sold]])</f>
        <v>5</v>
      </c>
    </row>
    <row r="393" spans="1:19" ht="12.75" hidden="1" x14ac:dyDescent="0.2">
      <c r="A393" s="20">
        <v>41974</v>
      </c>
      <c r="B393" t="s">
        <v>395</v>
      </c>
      <c r="C393" t="s">
        <v>388</v>
      </c>
      <c r="D393" t="s">
        <v>304</v>
      </c>
      <c r="E393" t="str">
        <f>VLOOKUP(DataTable[[#This Row],[Country]],Market!B:C,2,FALSE)</f>
        <v>Europe</v>
      </c>
      <c r="F393" s="24">
        <v>10</v>
      </c>
      <c r="G393" s="24">
        <v>560300</v>
      </c>
      <c r="H393" s="24">
        <v>350</v>
      </c>
      <c r="I393" s="27">
        <v>2155</v>
      </c>
      <c r="J393" s="24">
        <v>754250</v>
      </c>
      <c r="K393" s="24">
        <v>7542.5</v>
      </c>
      <c r="L393" s="1" t="s">
        <v>57</v>
      </c>
      <c r="M393" s="24">
        <v>746707.5</v>
      </c>
      <c r="N393" s="24">
        <f t="shared" si="6"/>
        <v>186407.5</v>
      </c>
      <c r="O393" t="str">
        <f>IF(DataTable[[#This Row],[Profit]]/DataTable[[#This Row],[COGS]]*100&gt;20,"Achived","Not Achived")</f>
        <v>Achived</v>
      </c>
      <c r="P393" s="25">
        <f>DataTable[[#This Row],[Profit]]/DataTable[[#This Row],[COGS]]</f>
        <v>0.33269230769230768</v>
      </c>
      <c r="Q393">
        <f>DataTable[[#This Row],[Manufacturing Price]]*DataTable[[#This Row],[Units Sold]]</f>
        <v>21550</v>
      </c>
      <c r="R393" s="26">
        <f>DataTable[[#This Row],[COGS]]-DataTable[[#This Row],[MC_US]]</f>
        <v>538750</v>
      </c>
      <c r="S393" s="26">
        <f>IF(DataTable[[#This Row],[COGS-MC_US]]&gt;=0,DataTable[[#This Row],[Manufacturing Price]],DataTable[[#This Row],[COGS]]/DataTable[[#This Row],[Units Sold]])</f>
        <v>10</v>
      </c>
    </row>
    <row r="394" spans="1:19" ht="12.75" hidden="1" x14ac:dyDescent="0.2">
      <c r="A394" s="20">
        <v>41730</v>
      </c>
      <c r="B394" t="s">
        <v>396</v>
      </c>
      <c r="C394" t="s">
        <v>388</v>
      </c>
      <c r="D394" t="s">
        <v>304</v>
      </c>
      <c r="E394" t="str">
        <f>VLOOKUP(DataTable[[#This Row],[Country]],Market!B:C,2,FALSE)</f>
        <v>Europe</v>
      </c>
      <c r="F394" s="24">
        <v>120</v>
      </c>
      <c r="G394" s="24">
        <v>38640</v>
      </c>
      <c r="H394" s="24">
        <v>20</v>
      </c>
      <c r="I394" s="27">
        <v>3864</v>
      </c>
      <c r="J394" s="24">
        <v>77280</v>
      </c>
      <c r="K394" s="24">
        <v>772.8</v>
      </c>
      <c r="L394" s="1" t="s">
        <v>57</v>
      </c>
      <c r="M394" s="24">
        <v>76507.199999999997</v>
      </c>
      <c r="N394" s="24">
        <f t="shared" si="6"/>
        <v>37867.199999999997</v>
      </c>
      <c r="O394" t="str">
        <f>IF(DataTable[[#This Row],[Profit]]/DataTable[[#This Row],[COGS]]*100&gt;20,"Achived","Not Achived")</f>
        <v>Achived</v>
      </c>
      <c r="P394" s="25">
        <f>DataTable[[#This Row],[Profit]]/DataTable[[#This Row],[COGS]]</f>
        <v>0.97999999999999987</v>
      </c>
      <c r="Q394">
        <f>DataTable[[#This Row],[Manufacturing Price]]*DataTable[[#This Row],[Units Sold]]</f>
        <v>463680</v>
      </c>
      <c r="R394" s="26">
        <f>DataTable[[#This Row],[COGS]]-DataTable[[#This Row],[MC_US]]</f>
        <v>-425040</v>
      </c>
      <c r="S394" s="26">
        <f>IF(DataTable[[#This Row],[COGS-MC_US]]&gt;=0,DataTable[[#This Row],[Manufacturing Price]],DataTable[[#This Row],[COGS]]/DataTable[[#This Row],[Units Sold]])</f>
        <v>10</v>
      </c>
    </row>
    <row r="395" spans="1:19" ht="12.75" hidden="1" x14ac:dyDescent="0.2">
      <c r="A395" s="20">
        <v>41579</v>
      </c>
      <c r="B395" t="s">
        <v>389</v>
      </c>
      <c r="C395" t="s">
        <v>388</v>
      </c>
      <c r="D395" t="s">
        <v>304</v>
      </c>
      <c r="E395" t="str">
        <f>VLOOKUP(DataTable[[#This Row],[Country]],Market!B:C,2,FALSE)</f>
        <v>Europe</v>
      </c>
      <c r="F395" s="24">
        <v>3</v>
      </c>
      <c r="G395" s="24">
        <v>10725</v>
      </c>
      <c r="H395" s="24">
        <v>7</v>
      </c>
      <c r="I395" s="27">
        <v>2145</v>
      </c>
      <c r="J395" s="24">
        <v>15015</v>
      </c>
      <c r="K395" s="24">
        <v>300.3</v>
      </c>
      <c r="L395" s="1" t="s">
        <v>57</v>
      </c>
      <c r="M395" s="24">
        <v>14714.7</v>
      </c>
      <c r="N395" s="24">
        <f t="shared" si="6"/>
        <v>3989.7000000000007</v>
      </c>
      <c r="O395" t="str">
        <f>IF(DataTable[[#This Row],[Profit]]/DataTable[[#This Row],[COGS]]*100&gt;20,"Achived","Not Achived")</f>
        <v>Achived</v>
      </c>
      <c r="P395" s="25">
        <f>DataTable[[#This Row],[Profit]]/DataTable[[#This Row],[COGS]]</f>
        <v>0.37200000000000005</v>
      </c>
      <c r="Q395">
        <f>DataTable[[#This Row],[Manufacturing Price]]*DataTable[[#This Row],[Units Sold]]</f>
        <v>6435</v>
      </c>
      <c r="R395" s="26">
        <f>DataTable[[#This Row],[COGS]]-DataTable[[#This Row],[MC_US]]</f>
        <v>4290</v>
      </c>
      <c r="S395" s="26">
        <f>IF(DataTable[[#This Row],[COGS-MC_US]]&gt;=0,DataTable[[#This Row],[Manufacturing Price]],DataTable[[#This Row],[COGS]]/DataTable[[#This Row],[Units Sold]])</f>
        <v>3</v>
      </c>
    </row>
    <row r="396" spans="1:19" ht="12.75" hidden="1" x14ac:dyDescent="0.2">
      <c r="A396" s="20">
        <v>41944</v>
      </c>
      <c r="B396" t="s">
        <v>398</v>
      </c>
      <c r="C396" t="s">
        <v>388</v>
      </c>
      <c r="D396" t="s">
        <v>304</v>
      </c>
      <c r="E396" t="str">
        <f>VLOOKUP(DataTable[[#This Row],[Country]],Market!B:C,2,FALSE)</f>
        <v>Europe</v>
      </c>
      <c r="F396" s="24">
        <v>260</v>
      </c>
      <c r="G396" s="24">
        <v>9410</v>
      </c>
      <c r="H396" s="24">
        <v>20</v>
      </c>
      <c r="I396" s="27">
        <v>941</v>
      </c>
      <c r="J396" s="24">
        <v>18820</v>
      </c>
      <c r="K396" s="24">
        <v>376.4</v>
      </c>
      <c r="L396" s="1" t="s">
        <v>57</v>
      </c>
      <c r="M396" s="24">
        <v>18443.599999999999</v>
      </c>
      <c r="N396" s="24">
        <f t="shared" si="6"/>
        <v>9033.5999999999985</v>
      </c>
      <c r="O396" t="str">
        <f>IF(DataTable[[#This Row],[Profit]]/DataTable[[#This Row],[COGS]]*100&gt;20,"Achived","Not Achived")</f>
        <v>Achived</v>
      </c>
      <c r="P396" s="25">
        <f>DataTable[[#This Row],[Profit]]/DataTable[[#This Row],[COGS]]</f>
        <v>0.95999999999999985</v>
      </c>
      <c r="Q396">
        <f>DataTable[[#This Row],[Manufacturing Price]]*DataTable[[#This Row],[Units Sold]]</f>
        <v>244660</v>
      </c>
      <c r="R396" s="26">
        <f>DataTable[[#This Row],[COGS]]-DataTable[[#This Row],[MC_US]]</f>
        <v>-235250</v>
      </c>
      <c r="S396" s="26">
        <f>IF(DataTable[[#This Row],[COGS-MC_US]]&gt;=0,DataTable[[#This Row],[Manufacturing Price]],DataTable[[#This Row],[COGS]]/DataTable[[#This Row],[Units Sold]])</f>
        <v>10</v>
      </c>
    </row>
    <row r="397" spans="1:19" ht="12.75" hidden="1" x14ac:dyDescent="0.2">
      <c r="A397" s="20">
        <v>41883</v>
      </c>
      <c r="B397" t="s">
        <v>391</v>
      </c>
      <c r="C397" t="s">
        <v>388</v>
      </c>
      <c r="D397" t="s">
        <v>304</v>
      </c>
      <c r="E397" t="str">
        <f>VLOOKUP(DataTable[[#This Row],[Country]],Market!B:C,2,FALSE)</f>
        <v>Europe</v>
      </c>
      <c r="F397" s="24">
        <v>5</v>
      </c>
      <c r="G397" s="24">
        <v>2720</v>
      </c>
      <c r="H397" s="24">
        <v>7</v>
      </c>
      <c r="I397" s="27">
        <v>544</v>
      </c>
      <c r="J397" s="24">
        <v>3808</v>
      </c>
      <c r="K397" s="24">
        <v>114.24</v>
      </c>
      <c r="L397" s="1" t="s">
        <v>57</v>
      </c>
      <c r="M397" s="24">
        <v>3693.76</v>
      </c>
      <c r="N397" s="24">
        <f t="shared" si="6"/>
        <v>973.76000000000022</v>
      </c>
      <c r="O397" t="str">
        <f>IF(DataTable[[#This Row],[Profit]]/DataTable[[#This Row],[COGS]]*100&gt;20,"Achived","Not Achived")</f>
        <v>Achived</v>
      </c>
      <c r="P397" s="25">
        <f>DataTable[[#This Row],[Profit]]/DataTable[[#This Row],[COGS]]</f>
        <v>0.3580000000000001</v>
      </c>
      <c r="Q397">
        <f>DataTable[[#This Row],[Manufacturing Price]]*DataTable[[#This Row],[Units Sold]]</f>
        <v>2720</v>
      </c>
      <c r="R397" s="26">
        <f>DataTable[[#This Row],[COGS]]-DataTable[[#This Row],[MC_US]]</f>
        <v>0</v>
      </c>
      <c r="S397" s="26">
        <f>IF(DataTable[[#This Row],[COGS-MC_US]]&gt;=0,DataTable[[#This Row],[Manufacturing Price]],DataTable[[#This Row],[COGS]]/DataTable[[#This Row],[Units Sold]])</f>
        <v>5</v>
      </c>
    </row>
    <row r="398" spans="1:19" ht="12.75" hidden="1" x14ac:dyDescent="0.2">
      <c r="A398" s="20">
        <v>41913</v>
      </c>
      <c r="B398" t="s">
        <v>396</v>
      </c>
      <c r="C398" t="s">
        <v>388</v>
      </c>
      <c r="D398" t="s">
        <v>304</v>
      </c>
      <c r="E398" t="str">
        <f>VLOOKUP(DataTable[[#This Row],[Country]],Market!B:C,2,FALSE)</f>
        <v>Europe</v>
      </c>
      <c r="F398" s="24">
        <v>120</v>
      </c>
      <c r="G398" s="24">
        <v>566020</v>
      </c>
      <c r="H398" s="24">
        <v>350</v>
      </c>
      <c r="I398" s="27">
        <v>2177</v>
      </c>
      <c r="J398" s="24">
        <v>761950</v>
      </c>
      <c r="K398" s="24">
        <v>30478</v>
      </c>
      <c r="L398" s="1" t="s">
        <v>57</v>
      </c>
      <c r="M398" s="24">
        <v>731472</v>
      </c>
      <c r="N398" s="24">
        <f t="shared" si="6"/>
        <v>165452</v>
      </c>
      <c r="O398" t="str">
        <f>IF(DataTable[[#This Row],[Profit]]/DataTable[[#This Row],[COGS]]*100&gt;20,"Achived","Not Achived")</f>
        <v>Achived</v>
      </c>
      <c r="P398" s="25">
        <f>DataTable[[#This Row],[Profit]]/DataTable[[#This Row],[COGS]]</f>
        <v>0.29230769230769232</v>
      </c>
      <c r="Q398">
        <f>DataTable[[#This Row],[Manufacturing Price]]*DataTable[[#This Row],[Units Sold]]</f>
        <v>261240</v>
      </c>
      <c r="R398" s="26">
        <f>DataTable[[#This Row],[COGS]]-DataTable[[#This Row],[MC_US]]</f>
        <v>304780</v>
      </c>
      <c r="S398" s="26">
        <f>IF(DataTable[[#This Row],[COGS-MC_US]]&gt;=0,DataTable[[#This Row],[Manufacturing Price]],DataTable[[#This Row],[COGS]]/DataTable[[#This Row],[Units Sold]])</f>
        <v>120</v>
      </c>
    </row>
    <row r="399" spans="1:19" ht="12.75" hidden="1" x14ac:dyDescent="0.2">
      <c r="A399" s="20">
        <v>41913</v>
      </c>
      <c r="B399" t="s">
        <v>397</v>
      </c>
      <c r="C399" t="s">
        <v>388</v>
      </c>
      <c r="D399" t="s">
        <v>304</v>
      </c>
      <c r="E399" t="str">
        <f>VLOOKUP(DataTable[[#This Row],[Country]],Market!B:C,2,FALSE)</f>
        <v>Europe</v>
      </c>
      <c r="F399" s="24">
        <v>250</v>
      </c>
      <c r="G399" s="24">
        <v>566020</v>
      </c>
      <c r="H399" s="24">
        <v>350</v>
      </c>
      <c r="I399" s="27">
        <v>2177</v>
      </c>
      <c r="J399" s="24">
        <v>761950</v>
      </c>
      <c r="K399" s="24">
        <v>30478</v>
      </c>
      <c r="L399" s="1" t="s">
        <v>57</v>
      </c>
      <c r="M399" s="24">
        <v>731472</v>
      </c>
      <c r="N399" s="24">
        <f t="shared" si="6"/>
        <v>165452</v>
      </c>
      <c r="O399" t="str">
        <f>IF(DataTable[[#This Row],[Profit]]/DataTable[[#This Row],[COGS]]*100&gt;20,"Achived","Not Achived")</f>
        <v>Achived</v>
      </c>
      <c r="P399" s="25">
        <f>DataTable[[#This Row],[Profit]]/DataTable[[#This Row],[COGS]]</f>
        <v>0.29230769230769232</v>
      </c>
      <c r="Q399">
        <f>DataTable[[#This Row],[Manufacturing Price]]*DataTable[[#This Row],[Units Sold]]</f>
        <v>544250</v>
      </c>
      <c r="R399" s="26">
        <f>DataTable[[#This Row],[COGS]]-DataTable[[#This Row],[MC_US]]</f>
        <v>21770</v>
      </c>
      <c r="S399" s="26">
        <f>IF(DataTable[[#This Row],[COGS-MC_US]]&gt;=0,DataTable[[#This Row],[Manufacturing Price]],DataTable[[#This Row],[COGS]]/DataTable[[#This Row],[Units Sold]])</f>
        <v>250</v>
      </c>
    </row>
    <row r="400" spans="1:19" ht="12.75" hidden="1" x14ac:dyDescent="0.2">
      <c r="A400" s="20">
        <v>41760</v>
      </c>
      <c r="B400" t="s">
        <v>389</v>
      </c>
      <c r="C400" t="s">
        <v>388</v>
      </c>
      <c r="D400" t="s">
        <v>304</v>
      </c>
      <c r="E400" t="str">
        <f>VLOOKUP(DataTable[[#This Row],[Country]],Market!B:C,2,FALSE)</f>
        <v>Europe</v>
      </c>
      <c r="F400" s="24">
        <v>3</v>
      </c>
      <c r="G400" s="24">
        <v>15630</v>
      </c>
      <c r="H400" s="24">
        <v>20</v>
      </c>
      <c r="I400" s="27">
        <v>1563</v>
      </c>
      <c r="J400" s="24">
        <v>31260</v>
      </c>
      <c r="K400" s="24">
        <v>1563</v>
      </c>
      <c r="L400" s="1" t="s">
        <v>124</v>
      </c>
      <c r="M400" s="24">
        <v>29697</v>
      </c>
      <c r="N400" s="24">
        <f t="shared" si="6"/>
        <v>14067</v>
      </c>
      <c r="O400" t="str">
        <f>IF(DataTable[[#This Row],[Profit]]/DataTable[[#This Row],[COGS]]*100&gt;20,"Achived","Not Achived")</f>
        <v>Achived</v>
      </c>
      <c r="P400" s="25">
        <f>DataTable[[#This Row],[Profit]]/DataTable[[#This Row],[COGS]]</f>
        <v>0.9</v>
      </c>
      <c r="Q400">
        <f>DataTable[[#This Row],[Manufacturing Price]]*DataTable[[#This Row],[Units Sold]]</f>
        <v>4689</v>
      </c>
      <c r="R400" s="26">
        <f>DataTable[[#This Row],[COGS]]-DataTable[[#This Row],[MC_US]]</f>
        <v>10941</v>
      </c>
      <c r="S400" s="26">
        <f>IF(DataTable[[#This Row],[COGS-MC_US]]&gt;=0,DataTable[[#This Row],[Manufacturing Price]],DataTable[[#This Row],[COGS]]/DataTable[[#This Row],[Units Sold]])</f>
        <v>3</v>
      </c>
    </row>
    <row r="401" spans="1:19" ht="12.75" hidden="1" x14ac:dyDescent="0.2">
      <c r="A401" s="20">
        <v>41974</v>
      </c>
      <c r="B401" t="s">
        <v>389</v>
      </c>
      <c r="C401" t="s">
        <v>388</v>
      </c>
      <c r="D401" t="s">
        <v>304</v>
      </c>
      <c r="E401" t="str">
        <f>VLOOKUP(DataTable[[#This Row],[Country]],Market!B:C,2,FALSE)</f>
        <v>Europe</v>
      </c>
      <c r="F401" s="24">
        <v>3</v>
      </c>
      <c r="G401" s="24">
        <v>12435</v>
      </c>
      <c r="H401" s="24">
        <v>7</v>
      </c>
      <c r="I401" s="27">
        <v>2487</v>
      </c>
      <c r="J401" s="24">
        <v>17409</v>
      </c>
      <c r="K401" s="24">
        <v>870.45</v>
      </c>
      <c r="L401" s="1" t="s">
        <v>124</v>
      </c>
      <c r="M401" s="24">
        <v>16538.55</v>
      </c>
      <c r="N401" s="24">
        <f t="shared" si="6"/>
        <v>4103.5499999999993</v>
      </c>
      <c r="O401" t="str">
        <f>IF(DataTable[[#This Row],[Profit]]/DataTable[[#This Row],[COGS]]*100&gt;20,"Achived","Not Achived")</f>
        <v>Achived</v>
      </c>
      <c r="P401" s="25">
        <f>DataTable[[#This Row],[Profit]]/DataTable[[#This Row],[COGS]]</f>
        <v>0.32999999999999996</v>
      </c>
      <c r="Q401">
        <f>DataTable[[#This Row],[Manufacturing Price]]*DataTable[[#This Row],[Units Sold]]</f>
        <v>7461</v>
      </c>
      <c r="R401" s="26">
        <f>DataTable[[#This Row],[COGS]]-DataTable[[#This Row],[MC_US]]</f>
        <v>4974</v>
      </c>
      <c r="S401" s="26">
        <f>IF(DataTable[[#This Row],[COGS-MC_US]]&gt;=0,DataTable[[#This Row],[Manufacturing Price]],DataTable[[#This Row],[COGS]]/DataTable[[#This Row],[Units Sold]])</f>
        <v>3</v>
      </c>
    </row>
    <row r="402" spans="1:19" ht="12.75" hidden="1" x14ac:dyDescent="0.2">
      <c r="A402" s="20">
        <v>41640</v>
      </c>
      <c r="B402" t="s">
        <v>391</v>
      </c>
      <c r="C402" t="s">
        <v>388</v>
      </c>
      <c r="D402" t="s">
        <v>304</v>
      </c>
      <c r="E402" t="str">
        <f>VLOOKUP(DataTable[[#This Row],[Country]],Market!B:C,2,FALSE)</f>
        <v>Europe</v>
      </c>
      <c r="F402" s="24">
        <v>5</v>
      </c>
      <c r="G402" s="24">
        <v>359970</v>
      </c>
      <c r="H402" s="24">
        <v>350</v>
      </c>
      <c r="I402" s="27">
        <v>1384.5</v>
      </c>
      <c r="J402" s="24">
        <v>484575</v>
      </c>
      <c r="K402" s="24">
        <v>24228.75</v>
      </c>
      <c r="L402" s="1" t="s">
        <v>124</v>
      </c>
      <c r="M402" s="24">
        <v>460346.25</v>
      </c>
      <c r="N402" s="24">
        <f t="shared" si="6"/>
        <v>100376.25</v>
      </c>
      <c r="O402" t="str">
        <f>IF(DataTable[[#This Row],[Profit]]/DataTable[[#This Row],[COGS]]*100&gt;20,"Achived","Not Achived")</f>
        <v>Achived</v>
      </c>
      <c r="P402" s="25">
        <f>DataTable[[#This Row],[Profit]]/DataTable[[#This Row],[COGS]]</f>
        <v>0.27884615384615385</v>
      </c>
      <c r="Q402">
        <f>DataTable[[#This Row],[Manufacturing Price]]*DataTable[[#This Row],[Units Sold]]</f>
        <v>6922.5</v>
      </c>
      <c r="R402" s="26">
        <f>DataTable[[#This Row],[COGS]]-DataTable[[#This Row],[MC_US]]</f>
        <v>353047.5</v>
      </c>
      <c r="S402" s="26">
        <f>IF(DataTable[[#This Row],[COGS-MC_US]]&gt;=0,DataTable[[#This Row],[Manufacturing Price]],DataTable[[#This Row],[COGS]]/DataTable[[#This Row],[Units Sold]])</f>
        <v>5</v>
      </c>
    </row>
    <row r="403" spans="1:19" ht="12.75" hidden="1" x14ac:dyDescent="0.2">
      <c r="A403" s="20">
        <v>41671</v>
      </c>
      <c r="B403" t="s">
        <v>395</v>
      </c>
      <c r="C403" t="s">
        <v>388</v>
      </c>
      <c r="D403" t="s">
        <v>304</v>
      </c>
      <c r="E403" t="str">
        <f>VLOOKUP(DataTable[[#This Row],[Country]],Market!B:C,2,FALSE)</f>
        <v>Europe</v>
      </c>
      <c r="F403" s="24">
        <v>10</v>
      </c>
      <c r="G403" s="24">
        <v>13030</v>
      </c>
      <c r="H403" s="24">
        <v>20</v>
      </c>
      <c r="I403" s="27">
        <v>1303</v>
      </c>
      <c r="J403" s="24">
        <v>26060</v>
      </c>
      <c r="K403" s="24">
        <v>1303</v>
      </c>
      <c r="L403" s="1" t="s">
        <v>124</v>
      </c>
      <c r="M403" s="24">
        <v>24757</v>
      </c>
      <c r="N403" s="24">
        <f t="shared" si="6"/>
        <v>11727</v>
      </c>
      <c r="O403" t="str">
        <f>IF(DataTable[[#This Row],[Profit]]/DataTable[[#This Row],[COGS]]*100&gt;20,"Achived","Not Achived")</f>
        <v>Achived</v>
      </c>
      <c r="P403" s="25">
        <f>DataTable[[#This Row],[Profit]]/DataTable[[#This Row],[COGS]]</f>
        <v>0.9</v>
      </c>
      <c r="Q403">
        <f>DataTable[[#This Row],[Manufacturing Price]]*DataTable[[#This Row],[Units Sold]]</f>
        <v>13030</v>
      </c>
      <c r="R403" s="26">
        <f>DataTable[[#This Row],[COGS]]-DataTable[[#This Row],[MC_US]]</f>
        <v>0</v>
      </c>
      <c r="S403" s="26">
        <f>IF(DataTable[[#This Row],[COGS-MC_US]]&gt;=0,DataTable[[#This Row],[Manufacturing Price]],DataTable[[#This Row],[COGS]]/DataTable[[#This Row],[Units Sold]])</f>
        <v>10</v>
      </c>
    </row>
    <row r="404" spans="1:19" ht="12.75" hidden="1" x14ac:dyDescent="0.2">
      <c r="A404" s="20">
        <v>41609</v>
      </c>
      <c r="B404" t="s">
        <v>395</v>
      </c>
      <c r="C404" t="s">
        <v>388</v>
      </c>
      <c r="D404" t="s">
        <v>304</v>
      </c>
      <c r="E404" t="str">
        <f>VLOOKUP(DataTable[[#This Row],[Country]],Market!B:C,2,FALSE)</f>
        <v>Europe</v>
      </c>
      <c r="F404" s="24">
        <v>10</v>
      </c>
      <c r="G404" s="24">
        <v>10680</v>
      </c>
      <c r="H404" s="24">
        <v>7</v>
      </c>
      <c r="I404" s="27">
        <v>2136</v>
      </c>
      <c r="J404" s="24">
        <v>14952</v>
      </c>
      <c r="K404" s="24">
        <v>747.6</v>
      </c>
      <c r="L404" s="1" t="s">
        <v>124</v>
      </c>
      <c r="M404" s="24">
        <v>14204.4</v>
      </c>
      <c r="N404" s="24">
        <f t="shared" si="6"/>
        <v>3524.3999999999996</v>
      </c>
      <c r="O404" t="str">
        <f>IF(DataTable[[#This Row],[Profit]]/DataTable[[#This Row],[COGS]]*100&gt;20,"Achived","Not Achived")</f>
        <v>Achived</v>
      </c>
      <c r="P404" s="25">
        <f>DataTable[[#This Row],[Profit]]/DataTable[[#This Row],[COGS]]</f>
        <v>0.32999999999999996</v>
      </c>
      <c r="Q404">
        <f>DataTable[[#This Row],[Manufacturing Price]]*DataTable[[#This Row],[Units Sold]]</f>
        <v>21360</v>
      </c>
      <c r="R404" s="26">
        <f>DataTable[[#This Row],[COGS]]-DataTable[[#This Row],[MC_US]]</f>
        <v>-10680</v>
      </c>
      <c r="S404" s="26">
        <f>IF(DataTable[[#This Row],[COGS-MC_US]]&gt;=0,DataTable[[#This Row],[Manufacturing Price]],DataTable[[#This Row],[COGS]]/DataTable[[#This Row],[Units Sold]])</f>
        <v>5</v>
      </c>
    </row>
    <row r="405" spans="1:19" ht="12.75" hidden="1" x14ac:dyDescent="0.2">
      <c r="A405" s="20">
        <v>41852</v>
      </c>
      <c r="B405" t="s">
        <v>396</v>
      </c>
      <c r="C405" t="s">
        <v>388</v>
      </c>
      <c r="D405" t="s">
        <v>304</v>
      </c>
      <c r="E405" t="str">
        <f>VLOOKUP(DataTable[[#This Row],[Country]],Market!B:C,2,FALSE)</f>
        <v>Europe</v>
      </c>
      <c r="F405" s="24">
        <v>120</v>
      </c>
      <c r="G405" s="24">
        <v>15790</v>
      </c>
      <c r="H405" s="24">
        <v>20</v>
      </c>
      <c r="I405" s="27">
        <v>1579</v>
      </c>
      <c r="J405" s="24">
        <v>31580</v>
      </c>
      <c r="K405" s="24">
        <v>1579</v>
      </c>
      <c r="L405" s="1" t="s">
        <v>124</v>
      </c>
      <c r="M405" s="24">
        <v>30001</v>
      </c>
      <c r="N405" s="24">
        <f t="shared" si="6"/>
        <v>14211</v>
      </c>
      <c r="O405" t="str">
        <f>IF(DataTable[[#This Row],[Profit]]/DataTable[[#This Row],[COGS]]*100&gt;20,"Achived","Not Achived")</f>
        <v>Achived</v>
      </c>
      <c r="P405" s="25">
        <f>DataTable[[#This Row],[Profit]]/DataTable[[#This Row],[COGS]]</f>
        <v>0.9</v>
      </c>
      <c r="Q405">
        <f>DataTable[[#This Row],[Manufacturing Price]]*DataTable[[#This Row],[Units Sold]]</f>
        <v>189480</v>
      </c>
      <c r="R405" s="26">
        <f>DataTable[[#This Row],[COGS]]-DataTable[[#This Row],[MC_US]]</f>
        <v>-173690</v>
      </c>
      <c r="S405" s="26">
        <f>IF(DataTable[[#This Row],[COGS-MC_US]]&gt;=0,DataTable[[#This Row],[Manufacturing Price]],DataTable[[#This Row],[COGS]]/DataTable[[#This Row],[Units Sold]])</f>
        <v>10</v>
      </c>
    </row>
    <row r="406" spans="1:19" ht="12.75" hidden="1" x14ac:dyDescent="0.2">
      <c r="A406" s="20">
        <v>41609</v>
      </c>
      <c r="B406" t="s">
        <v>396</v>
      </c>
      <c r="C406" t="s">
        <v>388</v>
      </c>
      <c r="D406" t="s">
        <v>304</v>
      </c>
      <c r="E406" t="str">
        <f>VLOOKUP(DataTable[[#This Row],[Country]],Market!B:C,2,FALSE)</f>
        <v>Europe</v>
      </c>
      <c r="F406" s="24">
        <v>120</v>
      </c>
      <c r="G406" s="24">
        <v>10330</v>
      </c>
      <c r="H406" s="24">
        <v>20</v>
      </c>
      <c r="I406" s="27">
        <v>1033</v>
      </c>
      <c r="J406" s="24">
        <v>20660</v>
      </c>
      <c r="K406" s="24">
        <v>1033</v>
      </c>
      <c r="L406" s="1" t="s">
        <v>124</v>
      </c>
      <c r="M406" s="24">
        <v>19627</v>
      </c>
      <c r="N406" s="24">
        <f t="shared" si="6"/>
        <v>9297</v>
      </c>
      <c r="O406" t="str">
        <f>IF(DataTable[[#This Row],[Profit]]/DataTable[[#This Row],[COGS]]*100&gt;20,"Achived","Not Achived")</f>
        <v>Achived</v>
      </c>
      <c r="P406" s="25">
        <f>DataTable[[#This Row],[Profit]]/DataTable[[#This Row],[COGS]]</f>
        <v>0.9</v>
      </c>
      <c r="Q406">
        <f>DataTable[[#This Row],[Manufacturing Price]]*DataTable[[#This Row],[Units Sold]]</f>
        <v>123960</v>
      </c>
      <c r="R406" s="26">
        <f>DataTable[[#This Row],[COGS]]-DataTable[[#This Row],[MC_US]]</f>
        <v>-113630</v>
      </c>
      <c r="S406" s="26">
        <f>IF(DataTable[[#This Row],[COGS-MC_US]]&gt;=0,DataTable[[#This Row],[Manufacturing Price]],DataTable[[#This Row],[COGS]]/DataTable[[#This Row],[Units Sold]])</f>
        <v>10</v>
      </c>
    </row>
    <row r="407" spans="1:19" ht="12.75" hidden="1" x14ac:dyDescent="0.2">
      <c r="A407" s="20">
        <v>41974</v>
      </c>
      <c r="B407" t="s">
        <v>397</v>
      </c>
      <c r="C407" t="s">
        <v>388</v>
      </c>
      <c r="D407" t="s">
        <v>304</v>
      </c>
      <c r="E407" t="str">
        <f>VLOOKUP(DataTable[[#This Row],[Country]],Market!B:C,2,FALSE)</f>
        <v>Europe</v>
      </c>
      <c r="F407" s="24">
        <v>250</v>
      </c>
      <c r="G407" s="24">
        <v>12435</v>
      </c>
      <c r="H407" s="24">
        <v>7</v>
      </c>
      <c r="I407" s="27">
        <v>2487</v>
      </c>
      <c r="J407" s="24">
        <v>17409</v>
      </c>
      <c r="K407" s="24">
        <v>870.45</v>
      </c>
      <c r="L407" s="1" t="s">
        <v>124</v>
      </c>
      <c r="M407" s="24">
        <v>16538.55</v>
      </c>
      <c r="N407" s="24">
        <f t="shared" si="6"/>
        <v>4103.5499999999993</v>
      </c>
      <c r="O407" t="str">
        <f>IF(DataTable[[#This Row],[Profit]]/DataTable[[#This Row],[COGS]]*100&gt;20,"Achived","Not Achived")</f>
        <v>Achived</v>
      </c>
      <c r="P407" s="25">
        <f>DataTable[[#This Row],[Profit]]/DataTable[[#This Row],[COGS]]</f>
        <v>0.32999999999999996</v>
      </c>
      <c r="Q407">
        <f>DataTable[[#This Row],[Manufacturing Price]]*DataTable[[#This Row],[Units Sold]]</f>
        <v>621750</v>
      </c>
      <c r="R407" s="26">
        <f>DataTable[[#This Row],[COGS]]-DataTable[[#This Row],[MC_US]]</f>
        <v>-609315</v>
      </c>
      <c r="S407" s="26">
        <f>IF(DataTable[[#This Row],[COGS-MC_US]]&gt;=0,DataTable[[#This Row],[Manufacturing Price]],DataTable[[#This Row],[COGS]]/DataTable[[#This Row],[Units Sold]])</f>
        <v>5</v>
      </c>
    </row>
    <row r="408" spans="1:19" ht="12.75" hidden="1" x14ac:dyDescent="0.2">
      <c r="A408" s="20">
        <v>41548</v>
      </c>
      <c r="B408" t="s">
        <v>391</v>
      </c>
      <c r="C408" t="s">
        <v>388</v>
      </c>
      <c r="D408" t="s">
        <v>304</v>
      </c>
      <c r="E408" t="str">
        <f>VLOOKUP(DataTable[[#This Row],[Country]],Market!B:C,2,FALSE)</f>
        <v>Europe</v>
      </c>
      <c r="F408" s="24">
        <v>5</v>
      </c>
      <c r="G408" s="24">
        <v>7015</v>
      </c>
      <c r="H408" s="24">
        <v>7</v>
      </c>
      <c r="I408" s="27">
        <v>1403</v>
      </c>
      <c r="J408" s="24">
        <v>9821</v>
      </c>
      <c r="K408" s="24">
        <v>589.26</v>
      </c>
      <c r="L408" s="1" t="s">
        <v>124</v>
      </c>
      <c r="M408" s="24">
        <v>9231.74</v>
      </c>
      <c r="N408" s="24">
        <f t="shared" si="6"/>
        <v>2216.7399999999998</v>
      </c>
      <c r="O408" t="str">
        <f>IF(DataTable[[#This Row],[Profit]]/DataTable[[#This Row],[COGS]]*100&gt;20,"Achived","Not Achived")</f>
        <v>Achived</v>
      </c>
      <c r="P408" s="25">
        <f>DataTable[[#This Row],[Profit]]/DataTable[[#This Row],[COGS]]</f>
        <v>0.31599999999999995</v>
      </c>
      <c r="Q408">
        <f>DataTable[[#This Row],[Manufacturing Price]]*DataTable[[#This Row],[Units Sold]]</f>
        <v>7015</v>
      </c>
      <c r="R408" s="26">
        <f>DataTable[[#This Row],[COGS]]-DataTable[[#This Row],[MC_US]]</f>
        <v>0</v>
      </c>
      <c r="S408" s="26">
        <f>IF(DataTable[[#This Row],[COGS-MC_US]]&gt;=0,DataTable[[#This Row],[Manufacturing Price]],DataTable[[#This Row],[COGS]]/DataTable[[#This Row],[Units Sold]])</f>
        <v>5</v>
      </c>
    </row>
    <row r="409" spans="1:19" ht="12.75" hidden="1" x14ac:dyDescent="0.2">
      <c r="A409" s="20">
        <v>41791</v>
      </c>
      <c r="B409" t="s">
        <v>395</v>
      </c>
      <c r="C409" t="s">
        <v>388</v>
      </c>
      <c r="D409" t="s">
        <v>304</v>
      </c>
      <c r="E409" t="str">
        <f>VLOOKUP(DataTable[[#This Row],[Country]],Market!B:C,2,FALSE)</f>
        <v>Europe</v>
      </c>
      <c r="F409" s="24">
        <v>10</v>
      </c>
      <c r="G409" s="24">
        <v>388960</v>
      </c>
      <c r="H409" s="24">
        <v>350</v>
      </c>
      <c r="I409" s="27">
        <v>1496</v>
      </c>
      <c r="J409" s="24">
        <v>523600</v>
      </c>
      <c r="K409" s="24">
        <v>31416</v>
      </c>
      <c r="L409" s="1" t="s">
        <v>124</v>
      </c>
      <c r="M409" s="24">
        <v>492184</v>
      </c>
      <c r="N409" s="24">
        <f t="shared" si="6"/>
        <v>103224</v>
      </c>
      <c r="O409" t="str">
        <f>IF(DataTable[[#This Row],[Profit]]/DataTable[[#This Row],[COGS]]*100&gt;20,"Achived","Not Achived")</f>
        <v>Achived</v>
      </c>
      <c r="P409" s="25">
        <f>DataTable[[#This Row],[Profit]]/DataTable[[#This Row],[COGS]]</f>
        <v>0.26538461538461539</v>
      </c>
      <c r="Q409">
        <f>DataTable[[#This Row],[Manufacturing Price]]*DataTable[[#This Row],[Units Sold]]</f>
        <v>14960</v>
      </c>
      <c r="R409" s="26">
        <f>DataTable[[#This Row],[COGS]]-DataTable[[#This Row],[MC_US]]</f>
        <v>374000</v>
      </c>
      <c r="S409" s="26">
        <f>IF(DataTable[[#This Row],[COGS-MC_US]]&gt;=0,DataTable[[#This Row],[Manufacturing Price]],DataTable[[#This Row],[COGS]]/DataTable[[#This Row],[Units Sold]])</f>
        <v>10</v>
      </c>
    </row>
    <row r="410" spans="1:19" ht="12.75" hidden="1" x14ac:dyDescent="0.2">
      <c r="A410" s="20">
        <v>41791</v>
      </c>
      <c r="B410" t="s">
        <v>396</v>
      </c>
      <c r="C410" t="s">
        <v>388</v>
      </c>
      <c r="D410" t="s">
        <v>304</v>
      </c>
      <c r="E410" t="str">
        <f>VLOOKUP(DataTable[[#This Row],[Country]],Market!B:C,2,FALSE)</f>
        <v>Europe</v>
      </c>
      <c r="F410" s="24">
        <v>120</v>
      </c>
      <c r="G410" s="24">
        <v>388960</v>
      </c>
      <c r="H410" s="24">
        <v>350</v>
      </c>
      <c r="I410" s="27">
        <v>1496</v>
      </c>
      <c r="J410" s="24">
        <v>523600</v>
      </c>
      <c r="K410" s="24">
        <v>31416</v>
      </c>
      <c r="L410" s="1" t="s">
        <v>124</v>
      </c>
      <c r="M410" s="24">
        <v>492184</v>
      </c>
      <c r="N410" s="24">
        <f t="shared" si="6"/>
        <v>103224</v>
      </c>
      <c r="O410" t="str">
        <f>IF(DataTable[[#This Row],[Profit]]/DataTable[[#This Row],[COGS]]*100&gt;20,"Achived","Not Achived")</f>
        <v>Achived</v>
      </c>
      <c r="P410" s="25">
        <f>DataTable[[#This Row],[Profit]]/DataTable[[#This Row],[COGS]]</f>
        <v>0.26538461538461539</v>
      </c>
      <c r="Q410">
        <f>DataTable[[#This Row],[Manufacturing Price]]*DataTable[[#This Row],[Units Sold]]</f>
        <v>179520</v>
      </c>
      <c r="R410" s="26">
        <f>DataTable[[#This Row],[COGS]]-DataTable[[#This Row],[MC_US]]</f>
        <v>209440</v>
      </c>
      <c r="S410" s="26">
        <f>IF(DataTable[[#This Row],[COGS-MC_US]]&gt;=0,DataTable[[#This Row],[Manufacturing Price]],DataTable[[#This Row],[COGS]]/DataTable[[#This Row],[Units Sold]])</f>
        <v>120</v>
      </c>
    </row>
    <row r="411" spans="1:19" ht="12.75" hidden="1" x14ac:dyDescent="0.2">
      <c r="A411" s="20">
        <v>41548</v>
      </c>
      <c r="B411" t="s">
        <v>396</v>
      </c>
      <c r="C411" t="s">
        <v>388</v>
      </c>
      <c r="D411" t="s">
        <v>304</v>
      </c>
      <c r="E411" t="str">
        <f>VLOOKUP(DataTable[[#This Row],[Country]],Market!B:C,2,FALSE)</f>
        <v>Europe</v>
      </c>
      <c r="F411" s="24">
        <v>120</v>
      </c>
      <c r="G411" s="24">
        <v>539760</v>
      </c>
      <c r="H411" s="24">
        <v>350</v>
      </c>
      <c r="I411" s="27">
        <v>2076</v>
      </c>
      <c r="J411" s="24">
        <v>726600</v>
      </c>
      <c r="K411" s="24">
        <v>43596</v>
      </c>
      <c r="L411" s="1" t="s">
        <v>124</v>
      </c>
      <c r="M411" s="24">
        <v>683004</v>
      </c>
      <c r="N411" s="24">
        <f t="shared" si="6"/>
        <v>143244</v>
      </c>
      <c r="O411" t="str">
        <f>IF(DataTable[[#This Row],[Profit]]/DataTable[[#This Row],[COGS]]*100&gt;20,"Achived","Not Achived")</f>
        <v>Achived</v>
      </c>
      <c r="P411" s="25">
        <f>DataTable[[#This Row],[Profit]]/DataTable[[#This Row],[COGS]]</f>
        <v>0.26538461538461539</v>
      </c>
      <c r="Q411">
        <f>DataTable[[#This Row],[Manufacturing Price]]*DataTable[[#This Row],[Units Sold]]</f>
        <v>249120</v>
      </c>
      <c r="R411" s="26">
        <f>DataTable[[#This Row],[COGS]]-DataTable[[#This Row],[MC_US]]</f>
        <v>290640</v>
      </c>
      <c r="S411" s="26">
        <f>IF(DataTable[[#This Row],[COGS-MC_US]]&gt;=0,DataTable[[#This Row],[Manufacturing Price]],DataTable[[#This Row],[COGS]]/DataTable[[#This Row],[Units Sold]])</f>
        <v>120</v>
      </c>
    </row>
    <row r="412" spans="1:19" ht="12.75" hidden="1" x14ac:dyDescent="0.2">
      <c r="A412" s="20">
        <v>41548</v>
      </c>
      <c r="B412" t="s">
        <v>398</v>
      </c>
      <c r="C412" t="s">
        <v>388</v>
      </c>
      <c r="D412" t="s">
        <v>304</v>
      </c>
      <c r="E412" t="str">
        <f>VLOOKUP(DataTable[[#This Row],[Country]],Market!B:C,2,FALSE)</f>
        <v>Europe</v>
      </c>
      <c r="F412" s="24">
        <v>260</v>
      </c>
      <c r="G412" s="24">
        <v>7015</v>
      </c>
      <c r="H412" s="24">
        <v>7</v>
      </c>
      <c r="I412" s="27">
        <v>1403</v>
      </c>
      <c r="J412" s="24">
        <v>9821</v>
      </c>
      <c r="K412" s="24">
        <v>589.26</v>
      </c>
      <c r="L412" s="1" t="s">
        <v>124</v>
      </c>
      <c r="M412" s="24">
        <v>9231.74</v>
      </c>
      <c r="N412" s="24">
        <f t="shared" si="6"/>
        <v>2216.7399999999998</v>
      </c>
      <c r="O412" t="str">
        <f>IF(DataTable[[#This Row],[Profit]]/DataTable[[#This Row],[COGS]]*100&gt;20,"Achived","Not Achived")</f>
        <v>Achived</v>
      </c>
      <c r="P412" s="25">
        <f>DataTable[[#This Row],[Profit]]/DataTable[[#This Row],[COGS]]</f>
        <v>0.31599999999999995</v>
      </c>
      <c r="Q412">
        <f>DataTable[[#This Row],[Manufacturing Price]]*DataTable[[#This Row],[Units Sold]]</f>
        <v>364780</v>
      </c>
      <c r="R412" s="26">
        <f>DataTable[[#This Row],[COGS]]-DataTable[[#This Row],[MC_US]]</f>
        <v>-357765</v>
      </c>
      <c r="S412" s="26">
        <f>IF(DataTable[[#This Row],[COGS-MC_US]]&gt;=0,DataTable[[#This Row],[Manufacturing Price]],DataTable[[#This Row],[COGS]]/DataTable[[#This Row],[Units Sold]])</f>
        <v>5</v>
      </c>
    </row>
    <row r="413" spans="1:19" ht="12.75" hidden="1" x14ac:dyDescent="0.2">
      <c r="A413" s="20">
        <v>41548</v>
      </c>
      <c r="B413" t="s">
        <v>398</v>
      </c>
      <c r="C413" t="s">
        <v>388</v>
      </c>
      <c r="D413" t="s">
        <v>304</v>
      </c>
      <c r="E413" t="str">
        <f>VLOOKUP(DataTable[[#This Row],[Country]],Market!B:C,2,FALSE)</f>
        <v>Europe</v>
      </c>
      <c r="F413" s="24">
        <v>260</v>
      </c>
      <c r="G413" s="24">
        <v>539760</v>
      </c>
      <c r="H413" s="24">
        <v>350</v>
      </c>
      <c r="I413" s="27">
        <v>2076</v>
      </c>
      <c r="J413" s="24">
        <v>726600</v>
      </c>
      <c r="K413" s="24">
        <v>43596</v>
      </c>
      <c r="L413" s="1" t="s">
        <v>124</v>
      </c>
      <c r="M413" s="24">
        <v>683004</v>
      </c>
      <c r="N413" s="24">
        <f t="shared" si="6"/>
        <v>143244</v>
      </c>
      <c r="O413" t="str">
        <f>IF(DataTable[[#This Row],[Profit]]/DataTable[[#This Row],[COGS]]*100&gt;20,"Achived","Not Achived")</f>
        <v>Achived</v>
      </c>
      <c r="P413" s="25">
        <f>DataTable[[#This Row],[Profit]]/DataTable[[#This Row],[COGS]]</f>
        <v>0.26538461538461539</v>
      </c>
      <c r="Q413">
        <f>DataTable[[#This Row],[Manufacturing Price]]*DataTable[[#This Row],[Units Sold]]</f>
        <v>539760</v>
      </c>
      <c r="R413" s="26">
        <f>DataTable[[#This Row],[COGS]]-DataTable[[#This Row],[MC_US]]</f>
        <v>0</v>
      </c>
      <c r="S413" s="26">
        <f>IF(DataTable[[#This Row],[COGS-MC_US]]&gt;=0,DataTable[[#This Row],[Manufacturing Price]],DataTable[[#This Row],[COGS]]/DataTable[[#This Row],[Units Sold]])</f>
        <v>260</v>
      </c>
    </row>
    <row r="414" spans="1:19" ht="12.75" hidden="1" x14ac:dyDescent="0.2">
      <c r="A414" s="20">
        <v>41548</v>
      </c>
      <c r="B414" t="s">
        <v>391</v>
      </c>
      <c r="C414" t="s">
        <v>388</v>
      </c>
      <c r="D414" t="s">
        <v>304</v>
      </c>
      <c r="E414" t="str">
        <f>VLOOKUP(DataTable[[#This Row],[Country]],Market!B:C,2,FALSE)</f>
        <v>Europe</v>
      </c>
      <c r="F414" s="24">
        <v>5</v>
      </c>
      <c r="G414" s="24">
        <v>17570</v>
      </c>
      <c r="H414" s="24">
        <v>20</v>
      </c>
      <c r="I414" s="27">
        <v>1757</v>
      </c>
      <c r="J414" s="24">
        <v>35140</v>
      </c>
      <c r="K414" s="24">
        <v>2108.4</v>
      </c>
      <c r="L414" s="1" t="s">
        <v>124</v>
      </c>
      <c r="M414" s="24">
        <v>33031.599999999999</v>
      </c>
      <c r="N414" s="24">
        <f t="shared" si="6"/>
        <v>15461.599999999999</v>
      </c>
      <c r="O414" t="str">
        <f>IF(DataTable[[#This Row],[Profit]]/DataTable[[#This Row],[COGS]]*100&gt;20,"Achived","Not Achived")</f>
        <v>Achived</v>
      </c>
      <c r="P414" s="25">
        <f>DataTable[[#This Row],[Profit]]/DataTable[[#This Row],[COGS]]</f>
        <v>0.87999999999999989</v>
      </c>
      <c r="Q414">
        <f>DataTable[[#This Row],[Manufacturing Price]]*DataTable[[#This Row],[Units Sold]]</f>
        <v>8785</v>
      </c>
      <c r="R414" s="26">
        <f>DataTable[[#This Row],[COGS]]-DataTable[[#This Row],[MC_US]]</f>
        <v>8785</v>
      </c>
      <c r="S414" s="26">
        <f>IF(DataTable[[#This Row],[COGS-MC_US]]&gt;=0,DataTable[[#This Row],[Manufacturing Price]],DataTable[[#This Row],[COGS]]/DataTable[[#This Row],[Units Sold]])</f>
        <v>5</v>
      </c>
    </row>
    <row r="415" spans="1:19" ht="12.75" hidden="1" x14ac:dyDescent="0.2">
      <c r="A415" s="20">
        <v>41548</v>
      </c>
      <c r="B415" t="s">
        <v>395</v>
      </c>
      <c r="C415" t="s">
        <v>388</v>
      </c>
      <c r="D415" t="s">
        <v>304</v>
      </c>
      <c r="E415" t="str">
        <f>VLOOKUP(DataTable[[#This Row],[Country]],Market!B:C,2,FALSE)</f>
        <v>Europe</v>
      </c>
      <c r="F415" s="24">
        <v>10</v>
      </c>
      <c r="G415" s="24">
        <v>17570</v>
      </c>
      <c r="H415" s="24">
        <v>20</v>
      </c>
      <c r="I415" s="27">
        <v>1757</v>
      </c>
      <c r="J415" s="24">
        <v>35140</v>
      </c>
      <c r="K415" s="24">
        <v>2108.4</v>
      </c>
      <c r="L415" s="1" t="s">
        <v>124</v>
      </c>
      <c r="M415" s="24">
        <v>33031.599999999999</v>
      </c>
      <c r="N415" s="24">
        <f t="shared" si="6"/>
        <v>15461.599999999999</v>
      </c>
      <c r="O415" t="str">
        <f>IF(DataTable[[#This Row],[Profit]]/DataTable[[#This Row],[COGS]]*100&gt;20,"Achived","Not Achived")</f>
        <v>Achived</v>
      </c>
      <c r="P415" s="25">
        <f>DataTable[[#This Row],[Profit]]/DataTable[[#This Row],[COGS]]</f>
        <v>0.87999999999999989</v>
      </c>
      <c r="Q415">
        <f>DataTable[[#This Row],[Manufacturing Price]]*DataTable[[#This Row],[Units Sold]]</f>
        <v>17570</v>
      </c>
      <c r="R415" s="26">
        <f>DataTable[[#This Row],[COGS]]-DataTable[[#This Row],[MC_US]]</f>
        <v>0</v>
      </c>
      <c r="S415" s="26">
        <f>IF(DataTable[[#This Row],[COGS-MC_US]]&gt;=0,DataTable[[#This Row],[Manufacturing Price]],DataTable[[#This Row],[COGS]]/DataTable[[#This Row],[Units Sold]])</f>
        <v>10</v>
      </c>
    </row>
    <row r="416" spans="1:19" ht="12.75" hidden="1" x14ac:dyDescent="0.2">
      <c r="A416" s="20">
        <v>41518</v>
      </c>
      <c r="B416" t="s">
        <v>395</v>
      </c>
      <c r="C416" t="s">
        <v>388</v>
      </c>
      <c r="D416" t="s">
        <v>304</v>
      </c>
      <c r="E416" t="str">
        <f>VLOOKUP(DataTable[[#This Row],[Country]],Market!B:C,2,FALSE)</f>
        <v>Europe</v>
      </c>
      <c r="F416" s="24">
        <v>10</v>
      </c>
      <c r="G416" s="24">
        <v>5155</v>
      </c>
      <c r="H416" s="24">
        <v>7</v>
      </c>
      <c r="I416" s="27">
        <v>1031</v>
      </c>
      <c r="J416" s="24">
        <v>7217</v>
      </c>
      <c r="K416" s="24">
        <v>505.19</v>
      </c>
      <c r="L416" s="1" t="s">
        <v>124</v>
      </c>
      <c r="M416" s="24">
        <v>6711.81</v>
      </c>
      <c r="N416" s="24">
        <f t="shared" si="6"/>
        <v>1556.8100000000004</v>
      </c>
      <c r="O416" t="str">
        <f>IF(DataTable[[#This Row],[Profit]]/DataTable[[#This Row],[COGS]]*100&gt;20,"Achived","Not Achived")</f>
        <v>Achived</v>
      </c>
      <c r="P416" s="25">
        <f>DataTable[[#This Row],[Profit]]/DataTable[[#This Row],[COGS]]</f>
        <v>0.3020000000000001</v>
      </c>
      <c r="Q416">
        <f>DataTable[[#This Row],[Manufacturing Price]]*DataTable[[#This Row],[Units Sold]]</f>
        <v>10310</v>
      </c>
      <c r="R416" s="26">
        <f>DataTable[[#This Row],[COGS]]-DataTable[[#This Row],[MC_US]]</f>
        <v>-5155</v>
      </c>
      <c r="S416" s="26">
        <f>IF(DataTable[[#This Row],[COGS-MC_US]]&gt;=0,DataTable[[#This Row],[Manufacturing Price]],DataTable[[#This Row],[COGS]]/DataTable[[#This Row],[Units Sold]])</f>
        <v>5</v>
      </c>
    </row>
    <row r="417" spans="1:19" ht="12.75" hidden="1" x14ac:dyDescent="0.2">
      <c r="A417" s="20">
        <v>41913</v>
      </c>
      <c r="B417" t="s">
        <v>391</v>
      </c>
      <c r="C417" t="s">
        <v>388</v>
      </c>
      <c r="D417" t="s">
        <v>304</v>
      </c>
      <c r="E417" t="str">
        <f>VLOOKUP(DataTable[[#This Row],[Country]],Market!B:C,2,FALSE)</f>
        <v>Europe</v>
      </c>
      <c r="F417" s="24">
        <v>5</v>
      </c>
      <c r="G417" s="24">
        <v>19760</v>
      </c>
      <c r="H417" s="24">
        <v>20</v>
      </c>
      <c r="I417" s="27">
        <v>1976</v>
      </c>
      <c r="J417" s="24">
        <v>39520</v>
      </c>
      <c r="K417" s="24">
        <v>2766.4</v>
      </c>
      <c r="L417" s="1" t="s">
        <v>124</v>
      </c>
      <c r="M417" s="24">
        <v>36753.599999999999</v>
      </c>
      <c r="N417" s="24">
        <f t="shared" si="6"/>
        <v>16993.599999999999</v>
      </c>
      <c r="O417" t="str">
        <f>IF(DataTable[[#This Row],[Profit]]/DataTable[[#This Row],[COGS]]*100&gt;20,"Achived","Not Achived")</f>
        <v>Achived</v>
      </c>
      <c r="P417" s="25">
        <f>DataTable[[#This Row],[Profit]]/DataTable[[#This Row],[COGS]]</f>
        <v>0.85999999999999988</v>
      </c>
      <c r="Q417">
        <f>DataTable[[#This Row],[Manufacturing Price]]*DataTable[[#This Row],[Units Sold]]</f>
        <v>9880</v>
      </c>
      <c r="R417" s="26">
        <f>DataTable[[#This Row],[COGS]]-DataTable[[#This Row],[MC_US]]</f>
        <v>9880</v>
      </c>
      <c r="S417" s="26">
        <f>IF(DataTable[[#This Row],[COGS-MC_US]]&gt;=0,DataTable[[#This Row],[Manufacturing Price]],DataTable[[#This Row],[COGS]]/DataTable[[#This Row],[Units Sold]])</f>
        <v>5</v>
      </c>
    </row>
    <row r="418" spans="1:19" ht="12.75" hidden="1" x14ac:dyDescent="0.2">
      <c r="A418" s="20">
        <v>41883</v>
      </c>
      <c r="B418" t="s">
        <v>395</v>
      </c>
      <c r="C418" t="s">
        <v>388</v>
      </c>
      <c r="D418" t="s">
        <v>304</v>
      </c>
      <c r="E418" t="str">
        <f>VLOOKUP(DataTable[[#This Row],[Country]],Market!B:C,2,FALSE)</f>
        <v>Europe</v>
      </c>
      <c r="F418" s="24">
        <v>10</v>
      </c>
      <c r="G418" s="24">
        <v>15350</v>
      </c>
      <c r="H418" s="24">
        <v>20</v>
      </c>
      <c r="I418" s="27">
        <v>1535</v>
      </c>
      <c r="J418" s="24">
        <v>30700</v>
      </c>
      <c r="K418" s="24">
        <v>2149</v>
      </c>
      <c r="L418" s="1" t="s">
        <v>124</v>
      </c>
      <c r="M418" s="24">
        <v>28551</v>
      </c>
      <c r="N418" s="24">
        <f t="shared" si="6"/>
        <v>13201</v>
      </c>
      <c r="O418" t="str">
        <f>IF(DataTable[[#This Row],[Profit]]/DataTable[[#This Row],[COGS]]*100&gt;20,"Achived","Not Achived")</f>
        <v>Achived</v>
      </c>
      <c r="P418" s="25">
        <f>DataTable[[#This Row],[Profit]]/DataTable[[#This Row],[COGS]]</f>
        <v>0.86</v>
      </c>
      <c r="Q418">
        <f>DataTable[[#This Row],[Manufacturing Price]]*DataTable[[#This Row],[Units Sold]]</f>
        <v>15350</v>
      </c>
      <c r="R418" s="26">
        <f>DataTable[[#This Row],[COGS]]-DataTable[[#This Row],[MC_US]]</f>
        <v>0</v>
      </c>
      <c r="S418" s="26">
        <f>IF(DataTable[[#This Row],[COGS-MC_US]]&gt;=0,DataTable[[#This Row],[Manufacturing Price]],DataTable[[#This Row],[COGS]]/DataTable[[#This Row],[Units Sold]])</f>
        <v>10</v>
      </c>
    </row>
    <row r="419" spans="1:19" ht="12.75" hidden="1" x14ac:dyDescent="0.2">
      <c r="A419" s="20">
        <v>41913</v>
      </c>
      <c r="B419" t="s">
        <v>396</v>
      </c>
      <c r="C419" t="s">
        <v>388</v>
      </c>
      <c r="D419" t="s">
        <v>304</v>
      </c>
      <c r="E419" t="str">
        <f>VLOOKUP(DataTable[[#This Row],[Country]],Market!B:C,2,FALSE)</f>
        <v>Europe</v>
      </c>
      <c r="F419" s="24">
        <v>120</v>
      </c>
      <c r="G419" s="24">
        <v>19760</v>
      </c>
      <c r="H419" s="24">
        <v>20</v>
      </c>
      <c r="I419" s="27">
        <v>1976</v>
      </c>
      <c r="J419" s="24">
        <v>39520</v>
      </c>
      <c r="K419" s="24">
        <v>2766.4</v>
      </c>
      <c r="L419" s="1" t="s">
        <v>124</v>
      </c>
      <c r="M419" s="24">
        <v>36753.599999999999</v>
      </c>
      <c r="N419" s="24">
        <f t="shared" si="6"/>
        <v>16993.599999999999</v>
      </c>
      <c r="O419" t="str">
        <f>IF(DataTable[[#This Row],[Profit]]/DataTable[[#This Row],[COGS]]*100&gt;20,"Achived","Not Achived")</f>
        <v>Achived</v>
      </c>
      <c r="P419" s="25">
        <f>DataTable[[#This Row],[Profit]]/DataTable[[#This Row],[COGS]]</f>
        <v>0.85999999999999988</v>
      </c>
      <c r="Q419">
        <f>DataTable[[#This Row],[Manufacturing Price]]*DataTable[[#This Row],[Units Sold]]</f>
        <v>237120</v>
      </c>
      <c r="R419" s="26">
        <f>DataTable[[#This Row],[COGS]]-DataTable[[#This Row],[MC_US]]</f>
        <v>-217360</v>
      </c>
      <c r="S419" s="26">
        <f>IF(DataTable[[#This Row],[COGS-MC_US]]&gt;=0,DataTable[[#This Row],[Manufacturing Price]],DataTable[[#This Row],[COGS]]/DataTable[[#This Row],[Units Sold]])</f>
        <v>10</v>
      </c>
    </row>
    <row r="420" spans="1:19" ht="12.75" hidden="1" x14ac:dyDescent="0.2">
      <c r="A420" s="20">
        <v>41883</v>
      </c>
      <c r="B420" t="s">
        <v>398</v>
      </c>
      <c r="C420" t="s">
        <v>388</v>
      </c>
      <c r="D420" t="s">
        <v>304</v>
      </c>
      <c r="E420" t="str">
        <f>VLOOKUP(DataTable[[#This Row],[Country]],Market!B:C,2,FALSE)</f>
        <v>Europe</v>
      </c>
      <c r="F420" s="24">
        <v>260</v>
      </c>
      <c r="G420" s="24">
        <v>747760</v>
      </c>
      <c r="H420" s="24">
        <v>350</v>
      </c>
      <c r="I420" s="27">
        <v>2876</v>
      </c>
      <c r="J420" s="24">
        <v>1006600</v>
      </c>
      <c r="K420" s="24">
        <v>70462</v>
      </c>
      <c r="L420" s="1" t="s">
        <v>124</v>
      </c>
      <c r="M420" s="24">
        <v>936138</v>
      </c>
      <c r="N420" s="24">
        <f t="shared" si="6"/>
        <v>188378</v>
      </c>
      <c r="O420" t="str">
        <f>IF(DataTable[[#This Row],[Profit]]/DataTable[[#This Row],[COGS]]*100&gt;20,"Achived","Not Achived")</f>
        <v>Achived</v>
      </c>
      <c r="P420" s="25">
        <f>DataTable[[#This Row],[Profit]]/DataTable[[#This Row],[COGS]]</f>
        <v>0.25192307692307692</v>
      </c>
      <c r="Q420">
        <f>DataTable[[#This Row],[Manufacturing Price]]*DataTable[[#This Row],[Units Sold]]</f>
        <v>747760</v>
      </c>
      <c r="R420" s="26">
        <f>DataTable[[#This Row],[COGS]]-DataTable[[#This Row],[MC_US]]</f>
        <v>0</v>
      </c>
      <c r="S420" s="26">
        <f>IF(DataTable[[#This Row],[COGS-MC_US]]&gt;=0,DataTable[[#This Row],[Manufacturing Price]],DataTable[[#This Row],[COGS]]/DataTable[[#This Row],[Units Sold]])</f>
        <v>260</v>
      </c>
    </row>
    <row r="421" spans="1:19" ht="12.75" hidden="1" x14ac:dyDescent="0.2">
      <c r="A421" s="20">
        <v>41730</v>
      </c>
      <c r="B421" t="s">
        <v>397</v>
      </c>
      <c r="C421" t="s">
        <v>388</v>
      </c>
      <c r="D421" t="s">
        <v>304</v>
      </c>
      <c r="E421" t="str">
        <f>VLOOKUP(DataTable[[#This Row],[Country]],Market!B:C,2,FALSE)</f>
        <v>Europe</v>
      </c>
      <c r="F421" s="24">
        <v>250</v>
      </c>
      <c r="G421" s="24">
        <v>149370</v>
      </c>
      <c r="H421" s="24">
        <v>350</v>
      </c>
      <c r="I421" s="27">
        <v>574.5</v>
      </c>
      <c r="J421" s="24">
        <v>201075</v>
      </c>
      <c r="K421" s="24">
        <v>16086</v>
      </c>
      <c r="L421" s="1" t="s">
        <v>124</v>
      </c>
      <c r="M421" s="24">
        <v>184989</v>
      </c>
      <c r="N421" s="24">
        <f t="shared" si="6"/>
        <v>35619</v>
      </c>
      <c r="O421" t="str">
        <f>IF(DataTable[[#This Row],[Profit]]/DataTable[[#This Row],[COGS]]*100&gt;20,"Achived","Not Achived")</f>
        <v>Achived</v>
      </c>
      <c r="P421" s="25">
        <f>DataTable[[#This Row],[Profit]]/DataTable[[#This Row],[COGS]]</f>
        <v>0.23846153846153847</v>
      </c>
      <c r="Q421">
        <f>DataTable[[#This Row],[Manufacturing Price]]*DataTable[[#This Row],[Units Sold]]</f>
        <v>143625</v>
      </c>
      <c r="R421" s="26">
        <f>DataTable[[#This Row],[COGS]]-DataTable[[#This Row],[MC_US]]</f>
        <v>5745</v>
      </c>
      <c r="S421" s="26">
        <f>IF(DataTable[[#This Row],[COGS-MC_US]]&gt;=0,DataTable[[#This Row],[Manufacturing Price]],DataTable[[#This Row],[COGS]]/DataTable[[#This Row],[Units Sold]])</f>
        <v>250</v>
      </c>
    </row>
    <row r="422" spans="1:19" ht="12.75" hidden="1" x14ac:dyDescent="0.2">
      <c r="A422" s="20">
        <v>41852</v>
      </c>
      <c r="B422" t="s">
        <v>397</v>
      </c>
      <c r="C422" t="s">
        <v>388</v>
      </c>
      <c r="D422" t="s">
        <v>304</v>
      </c>
      <c r="E422" t="str">
        <f>VLOOKUP(DataTable[[#This Row],[Country]],Market!B:C,2,FALSE)</f>
        <v>Europe</v>
      </c>
      <c r="F422" s="24">
        <v>250</v>
      </c>
      <c r="G422" s="24">
        <v>99060</v>
      </c>
      <c r="H422" s="24">
        <v>350</v>
      </c>
      <c r="I422" s="27">
        <v>381</v>
      </c>
      <c r="J422" s="24">
        <v>133350</v>
      </c>
      <c r="K422" s="24">
        <v>10668</v>
      </c>
      <c r="L422" s="1" t="s">
        <v>124</v>
      </c>
      <c r="M422" s="24">
        <v>122682</v>
      </c>
      <c r="N422" s="24">
        <f t="shared" si="6"/>
        <v>23622</v>
      </c>
      <c r="O422" t="str">
        <f>IF(DataTable[[#This Row],[Profit]]/DataTable[[#This Row],[COGS]]*100&gt;20,"Achived","Not Achived")</f>
        <v>Achived</v>
      </c>
      <c r="P422" s="25">
        <f>DataTable[[#This Row],[Profit]]/DataTable[[#This Row],[COGS]]</f>
        <v>0.23846153846153847</v>
      </c>
      <c r="Q422">
        <f>DataTable[[#This Row],[Manufacturing Price]]*DataTable[[#This Row],[Units Sold]]</f>
        <v>95250</v>
      </c>
      <c r="R422" s="26">
        <f>DataTable[[#This Row],[COGS]]-DataTable[[#This Row],[MC_US]]</f>
        <v>3810</v>
      </c>
      <c r="S422" s="26">
        <f>IF(DataTable[[#This Row],[COGS-MC_US]]&gt;=0,DataTable[[#This Row],[Manufacturing Price]],DataTable[[#This Row],[COGS]]/DataTable[[#This Row],[Units Sold]])</f>
        <v>250</v>
      </c>
    </row>
    <row r="423" spans="1:19" ht="12.75" hidden="1" x14ac:dyDescent="0.2">
      <c r="A423" s="20">
        <v>41760</v>
      </c>
      <c r="B423" t="s">
        <v>391</v>
      </c>
      <c r="C423" t="s">
        <v>388</v>
      </c>
      <c r="D423" t="s">
        <v>304</v>
      </c>
      <c r="E423" t="str">
        <f>VLOOKUP(DataTable[[#This Row],[Country]],Market!B:C,2,FALSE)</f>
        <v>Europe</v>
      </c>
      <c r="F423" s="24">
        <v>5</v>
      </c>
      <c r="G423" s="24">
        <v>433160</v>
      </c>
      <c r="H423" s="24">
        <v>350</v>
      </c>
      <c r="I423" s="27">
        <v>1666</v>
      </c>
      <c r="J423" s="24">
        <v>583100</v>
      </c>
      <c r="K423" s="24">
        <v>52479</v>
      </c>
      <c r="L423" s="1" t="s">
        <v>124</v>
      </c>
      <c r="M423" s="24">
        <v>530621</v>
      </c>
      <c r="N423" s="24">
        <f t="shared" si="6"/>
        <v>97461</v>
      </c>
      <c r="O423" t="str">
        <f>IF(DataTable[[#This Row],[Profit]]/DataTable[[#This Row],[COGS]]*100&gt;20,"Achived","Not Achived")</f>
        <v>Achived</v>
      </c>
      <c r="P423" s="25">
        <f>DataTable[[#This Row],[Profit]]/DataTable[[#This Row],[COGS]]</f>
        <v>0.22500000000000001</v>
      </c>
      <c r="Q423">
        <f>DataTable[[#This Row],[Manufacturing Price]]*DataTable[[#This Row],[Units Sold]]</f>
        <v>8330</v>
      </c>
      <c r="R423" s="26">
        <f>DataTable[[#This Row],[COGS]]-DataTable[[#This Row],[MC_US]]</f>
        <v>424830</v>
      </c>
      <c r="S423" s="26">
        <f>IF(DataTable[[#This Row],[COGS-MC_US]]&gt;=0,DataTable[[#This Row],[Manufacturing Price]],DataTable[[#This Row],[COGS]]/DataTable[[#This Row],[Units Sold]])</f>
        <v>5</v>
      </c>
    </row>
    <row r="424" spans="1:19" ht="12.75" hidden="1" x14ac:dyDescent="0.2">
      <c r="A424" s="20">
        <v>41579</v>
      </c>
      <c r="B424" t="s">
        <v>397</v>
      </c>
      <c r="C424" t="s">
        <v>388</v>
      </c>
      <c r="D424" t="s">
        <v>304</v>
      </c>
      <c r="E424" t="str">
        <f>VLOOKUP(DataTable[[#This Row],[Country]],Market!B:C,2,FALSE)</f>
        <v>Europe</v>
      </c>
      <c r="F424" s="24">
        <v>250</v>
      </c>
      <c r="G424" s="24">
        <v>26820</v>
      </c>
      <c r="H424" s="24">
        <v>20</v>
      </c>
      <c r="I424" s="27">
        <v>2682</v>
      </c>
      <c r="J424" s="24">
        <v>53640</v>
      </c>
      <c r="K424" s="24">
        <v>4827.6000000000004</v>
      </c>
      <c r="L424" s="1" t="s">
        <v>124</v>
      </c>
      <c r="M424" s="24">
        <v>48812.4</v>
      </c>
      <c r="N424" s="24">
        <f t="shared" si="6"/>
        <v>21992.400000000001</v>
      </c>
      <c r="O424" t="str">
        <f>IF(DataTable[[#This Row],[Profit]]/DataTable[[#This Row],[COGS]]*100&gt;20,"Achived","Not Achived")</f>
        <v>Achived</v>
      </c>
      <c r="P424" s="25">
        <f>DataTable[[#This Row],[Profit]]/DataTable[[#This Row],[COGS]]</f>
        <v>0.82000000000000006</v>
      </c>
      <c r="Q424">
        <f>DataTable[[#This Row],[Manufacturing Price]]*DataTable[[#This Row],[Units Sold]]</f>
        <v>670500</v>
      </c>
      <c r="R424" s="26">
        <f>DataTable[[#This Row],[COGS]]-DataTable[[#This Row],[MC_US]]</f>
        <v>-643680</v>
      </c>
      <c r="S424" s="26">
        <f>IF(DataTable[[#This Row],[COGS-MC_US]]&gt;=0,DataTable[[#This Row],[Manufacturing Price]],DataTable[[#This Row],[COGS]]/DataTable[[#This Row],[Units Sold]])</f>
        <v>10</v>
      </c>
    </row>
    <row r="425" spans="1:19" ht="12.75" x14ac:dyDescent="0.2">
      <c r="A425" s="20">
        <v>41699</v>
      </c>
      <c r="B425" t="s">
        <v>395</v>
      </c>
      <c r="C425" t="s">
        <v>388</v>
      </c>
      <c r="D425" t="s">
        <v>304</v>
      </c>
      <c r="E425" t="str">
        <f>VLOOKUP(DataTable[[#This Row],[Country]],Market!B:C,2,FALSE)</f>
        <v>Europe</v>
      </c>
      <c r="F425" s="24">
        <v>10</v>
      </c>
      <c r="G425" s="24">
        <v>19540</v>
      </c>
      <c r="H425" s="24">
        <v>20</v>
      </c>
      <c r="I425" s="27">
        <v>1954</v>
      </c>
      <c r="J425" s="24">
        <v>39080</v>
      </c>
      <c r="K425" s="24">
        <v>3908</v>
      </c>
      <c r="L425" s="1" t="s">
        <v>158</v>
      </c>
      <c r="M425" s="24">
        <v>35172</v>
      </c>
      <c r="N425" s="24">
        <f t="shared" si="6"/>
        <v>15632</v>
      </c>
      <c r="O425" t="str">
        <f>IF(DataTable[[#This Row],[Profit]]/DataTable[[#This Row],[COGS]]*100&gt;20,"Achived","Not Achived")</f>
        <v>Achived</v>
      </c>
      <c r="P425" s="25">
        <f>DataTable[[#This Row],[Profit]]/DataTable[[#This Row],[COGS]]</f>
        <v>0.8</v>
      </c>
      <c r="Q425">
        <f>DataTable[[#This Row],[Manufacturing Price]]*DataTable[[#This Row],[Units Sold]]</f>
        <v>19540</v>
      </c>
      <c r="R425" s="26">
        <f>DataTable[[#This Row],[COGS]]-DataTable[[#This Row],[MC_US]]</f>
        <v>0</v>
      </c>
      <c r="S425" s="26">
        <f>IF(DataTable[[#This Row],[COGS-MC_US]]&gt;=0,DataTable[[#This Row],[Manufacturing Price]],DataTable[[#This Row],[COGS]]/DataTable[[#This Row],[Units Sold]])</f>
        <v>10</v>
      </c>
    </row>
    <row r="426" spans="1:19" ht="12.75" x14ac:dyDescent="0.2">
      <c r="A426" s="20">
        <v>41821</v>
      </c>
      <c r="B426" t="s">
        <v>396</v>
      </c>
      <c r="C426" t="s">
        <v>388</v>
      </c>
      <c r="D426" t="s">
        <v>304</v>
      </c>
      <c r="E426" t="str">
        <f>VLOOKUP(DataTable[[#This Row],[Country]],Market!B:C,2,FALSE)</f>
        <v>Europe</v>
      </c>
      <c r="F426" s="24">
        <v>120</v>
      </c>
      <c r="G426" s="24">
        <v>166140</v>
      </c>
      <c r="H426" s="24">
        <v>350</v>
      </c>
      <c r="I426" s="27">
        <v>639</v>
      </c>
      <c r="J426" s="24">
        <v>223650</v>
      </c>
      <c r="K426" s="24">
        <v>22365</v>
      </c>
      <c r="L426" s="1" t="s">
        <v>158</v>
      </c>
      <c r="M426" s="24">
        <v>201285</v>
      </c>
      <c r="N426" s="24">
        <f t="shared" si="6"/>
        <v>35145</v>
      </c>
      <c r="O426" t="str">
        <f>IF(DataTable[[#This Row],[Profit]]/DataTable[[#This Row],[COGS]]*100&gt;20,"Achived","Not Achived")</f>
        <v>Achived</v>
      </c>
      <c r="P426" s="25">
        <f>DataTable[[#This Row],[Profit]]/DataTable[[#This Row],[COGS]]</f>
        <v>0.21153846153846154</v>
      </c>
      <c r="Q426">
        <f>DataTable[[#This Row],[Manufacturing Price]]*DataTable[[#This Row],[Units Sold]]</f>
        <v>76680</v>
      </c>
      <c r="R426" s="26">
        <f>DataTable[[#This Row],[COGS]]-DataTable[[#This Row],[MC_US]]</f>
        <v>89460</v>
      </c>
      <c r="S426" s="26">
        <f>IF(DataTable[[#This Row],[COGS-MC_US]]&gt;=0,DataTable[[#This Row],[Manufacturing Price]],DataTable[[#This Row],[COGS]]/DataTable[[#This Row],[Units Sold]])</f>
        <v>120</v>
      </c>
    </row>
    <row r="427" spans="1:19" ht="12.75" x14ac:dyDescent="0.2">
      <c r="A427" s="20">
        <v>41730</v>
      </c>
      <c r="B427" t="s">
        <v>395</v>
      </c>
      <c r="C427" t="s">
        <v>388</v>
      </c>
      <c r="D427" t="s">
        <v>304</v>
      </c>
      <c r="E427" t="str">
        <f>VLOOKUP(DataTable[[#This Row],[Country]],Market!B:C,2,FALSE)</f>
        <v>Europe</v>
      </c>
      <c r="F427" s="24">
        <v>10</v>
      </c>
      <c r="G427" s="24">
        <v>12660</v>
      </c>
      <c r="H427" s="24">
        <v>7</v>
      </c>
      <c r="I427" s="27">
        <v>2532</v>
      </c>
      <c r="J427" s="24">
        <v>17724</v>
      </c>
      <c r="K427" s="24">
        <v>1949.64</v>
      </c>
      <c r="L427" s="1" t="s">
        <v>158</v>
      </c>
      <c r="M427" s="24">
        <v>15774.36</v>
      </c>
      <c r="N427" s="24">
        <f t="shared" si="6"/>
        <v>3114.3600000000006</v>
      </c>
      <c r="O427" t="str">
        <f>IF(DataTable[[#This Row],[Profit]]/DataTable[[#This Row],[COGS]]*100&gt;20,"Achived","Not Achived")</f>
        <v>Achived</v>
      </c>
      <c r="P427" s="25">
        <f>DataTable[[#This Row],[Profit]]/DataTable[[#This Row],[COGS]]</f>
        <v>0.24600000000000005</v>
      </c>
      <c r="Q427">
        <f>DataTable[[#This Row],[Manufacturing Price]]*DataTable[[#This Row],[Units Sold]]</f>
        <v>25320</v>
      </c>
      <c r="R427" s="26">
        <f>DataTable[[#This Row],[COGS]]-DataTable[[#This Row],[MC_US]]</f>
        <v>-12660</v>
      </c>
      <c r="S427" s="26">
        <f>IF(DataTable[[#This Row],[COGS-MC_US]]&gt;=0,DataTable[[#This Row],[Manufacturing Price]],DataTable[[#This Row],[COGS]]/DataTable[[#This Row],[Units Sold]])</f>
        <v>5</v>
      </c>
    </row>
    <row r="428" spans="1:19" ht="12.75" x14ac:dyDescent="0.2">
      <c r="A428" s="20">
        <v>41518</v>
      </c>
      <c r="B428" t="s">
        <v>396</v>
      </c>
      <c r="C428" t="s">
        <v>388</v>
      </c>
      <c r="D428" t="s">
        <v>304</v>
      </c>
      <c r="E428" t="str">
        <f>VLOOKUP(DataTable[[#This Row],[Country]],Market!B:C,2,FALSE)</f>
        <v>Europe</v>
      </c>
      <c r="F428" s="24">
        <v>120</v>
      </c>
      <c r="G428" s="24">
        <v>28050</v>
      </c>
      <c r="H428" s="24">
        <v>20</v>
      </c>
      <c r="I428" s="27">
        <v>2805</v>
      </c>
      <c r="J428" s="24">
        <v>56100</v>
      </c>
      <c r="K428" s="24">
        <v>6171</v>
      </c>
      <c r="L428" s="1" t="s">
        <v>158</v>
      </c>
      <c r="M428" s="24">
        <v>49929</v>
      </c>
      <c r="N428" s="24">
        <f t="shared" si="6"/>
        <v>21879</v>
      </c>
      <c r="O428" t="str">
        <f>IF(DataTable[[#This Row],[Profit]]/DataTable[[#This Row],[COGS]]*100&gt;20,"Achived","Not Achived")</f>
        <v>Achived</v>
      </c>
      <c r="P428" s="25">
        <f>DataTable[[#This Row],[Profit]]/DataTable[[#This Row],[COGS]]</f>
        <v>0.78</v>
      </c>
      <c r="Q428">
        <f>DataTable[[#This Row],[Manufacturing Price]]*DataTable[[#This Row],[Units Sold]]</f>
        <v>336600</v>
      </c>
      <c r="R428" s="26">
        <f>DataTable[[#This Row],[COGS]]-DataTable[[#This Row],[MC_US]]</f>
        <v>-308550</v>
      </c>
      <c r="S428" s="26">
        <f>IF(DataTable[[#This Row],[COGS-MC_US]]&gt;=0,DataTable[[#This Row],[Manufacturing Price]],DataTable[[#This Row],[COGS]]/DataTable[[#This Row],[Units Sold]])</f>
        <v>10</v>
      </c>
    </row>
    <row r="429" spans="1:19" ht="12.75" x14ac:dyDescent="0.2">
      <c r="A429" s="20">
        <v>41944</v>
      </c>
      <c r="B429" t="s">
        <v>395</v>
      </c>
      <c r="C429" t="s">
        <v>388</v>
      </c>
      <c r="D429" t="s">
        <v>304</v>
      </c>
      <c r="E429" t="str">
        <f>VLOOKUP(DataTable[[#This Row],[Country]],Market!B:C,2,FALSE)</f>
        <v>Europe</v>
      </c>
      <c r="F429" s="24">
        <v>10</v>
      </c>
      <c r="G429" s="24">
        <v>414440</v>
      </c>
      <c r="H429" s="24">
        <v>350</v>
      </c>
      <c r="I429" s="27">
        <v>1594</v>
      </c>
      <c r="J429" s="24">
        <v>557900</v>
      </c>
      <c r="K429" s="24">
        <v>66948</v>
      </c>
      <c r="L429" s="1" t="s">
        <v>158</v>
      </c>
      <c r="M429" s="24">
        <v>490952</v>
      </c>
      <c r="N429" s="24">
        <f t="shared" si="6"/>
        <v>76512</v>
      </c>
      <c r="O429" t="str">
        <f>IF(DataTable[[#This Row],[Profit]]/DataTable[[#This Row],[COGS]]*100&gt;20,"Achived","Not Achived")</f>
        <v>Not Achived</v>
      </c>
      <c r="P429" s="25">
        <f>DataTable[[#This Row],[Profit]]/DataTable[[#This Row],[COGS]]</f>
        <v>0.18461538461538463</v>
      </c>
      <c r="Q429">
        <f>DataTable[[#This Row],[Manufacturing Price]]*DataTable[[#This Row],[Units Sold]]</f>
        <v>15940</v>
      </c>
      <c r="R429" s="26">
        <f>DataTable[[#This Row],[COGS]]-DataTable[[#This Row],[MC_US]]</f>
        <v>398500</v>
      </c>
      <c r="S429" s="26">
        <f>IF(DataTable[[#This Row],[COGS-MC_US]]&gt;=0,DataTable[[#This Row],[Manufacturing Price]],DataTable[[#This Row],[COGS]]/DataTable[[#This Row],[Units Sold]])</f>
        <v>10</v>
      </c>
    </row>
    <row r="430" spans="1:19" ht="12.75" x14ac:dyDescent="0.2">
      <c r="A430" s="20">
        <v>41821</v>
      </c>
      <c r="B430" t="s">
        <v>398</v>
      </c>
      <c r="C430" t="s">
        <v>388</v>
      </c>
      <c r="D430" t="s">
        <v>304</v>
      </c>
      <c r="E430" t="str">
        <f>VLOOKUP(DataTable[[#This Row],[Country]],Market!B:C,2,FALSE)</f>
        <v>Europe</v>
      </c>
      <c r="F430" s="24">
        <v>260</v>
      </c>
      <c r="G430" s="24">
        <v>17107.5</v>
      </c>
      <c r="H430" s="24">
        <v>7</v>
      </c>
      <c r="I430" s="27">
        <v>3421.5</v>
      </c>
      <c r="J430" s="24">
        <v>23950.5</v>
      </c>
      <c r="K430" s="24">
        <v>2874.06</v>
      </c>
      <c r="L430" s="1" t="s">
        <v>158</v>
      </c>
      <c r="M430" s="24">
        <v>21076.44</v>
      </c>
      <c r="N430" s="24">
        <f t="shared" si="6"/>
        <v>3968.9399999999987</v>
      </c>
      <c r="O430" t="str">
        <f>IF(DataTable[[#This Row],[Profit]]/DataTable[[#This Row],[COGS]]*100&gt;20,"Achived","Not Achived")</f>
        <v>Achived</v>
      </c>
      <c r="P430" s="25">
        <f>DataTable[[#This Row],[Profit]]/DataTable[[#This Row],[COGS]]</f>
        <v>0.23199999999999993</v>
      </c>
      <c r="Q430">
        <f>DataTable[[#This Row],[Manufacturing Price]]*DataTable[[#This Row],[Units Sold]]</f>
        <v>889590</v>
      </c>
      <c r="R430" s="26">
        <f>DataTable[[#This Row],[COGS]]-DataTable[[#This Row],[MC_US]]</f>
        <v>-872482.5</v>
      </c>
      <c r="S430" s="26">
        <f>IF(DataTable[[#This Row],[COGS-MC_US]]&gt;=0,DataTable[[#This Row],[Manufacturing Price]],DataTable[[#This Row],[COGS]]/DataTable[[#This Row],[Units Sold]])</f>
        <v>5</v>
      </c>
    </row>
    <row r="431" spans="1:19" ht="12.75" x14ac:dyDescent="0.2">
      <c r="A431" s="20">
        <v>41640</v>
      </c>
      <c r="B431" t="s">
        <v>389</v>
      </c>
      <c r="C431" t="s">
        <v>388</v>
      </c>
      <c r="D431" t="s">
        <v>304</v>
      </c>
      <c r="E431" t="str">
        <f>VLOOKUP(DataTable[[#This Row],[Country]],Market!B:C,2,FALSE)</f>
        <v>Europe</v>
      </c>
      <c r="F431" s="24">
        <v>3</v>
      </c>
      <c r="G431" s="24">
        <v>25215</v>
      </c>
      <c r="H431" s="24">
        <v>20</v>
      </c>
      <c r="I431" s="27">
        <v>2521.5</v>
      </c>
      <c r="J431" s="24">
        <v>50430</v>
      </c>
      <c r="K431" s="24">
        <v>6051.6</v>
      </c>
      <c r="L431" s="1" t="s">
        <v>158</v>
      </c>
      <c r="M431" s="24">
        <v>44378.400000000001</v>
      </c>
      <c r="N431" s="24">
        <f t="shared" si="6"/>
        <v>19163.400000000001</v>
      </c>
      <c r="O431" t="str">
        <f>IF(DataTable[[#This Row],[Profit]]/DataTable[[#This Row],[COGS]]*100&gt;20,"Achived","Not Achived")</f>
        <v>Achived</v>
      </c>
      <c r="P431" s="25">
        <f>DataTable[[#This Row],[Profit]]/DataTable[[#This Row],[COGS]]</f>
        <v>0.76</v>
      </c>
      <c r="Q431">
        <f>DataTable[[#This Row],[Manufacturing Price]]*DataTable[[#This Row],[Units Sold]]</f>
        <v>7564.5</v>
      </c>
      <c r="R431" s="26">
        <f>DataTable[[#This Row],[COGS]]-DataTable[[#This Row],[MC_US]]</f>
        <v>17650.5</v>
      </c>
      <c r="S431" s="26">
        <f>IF(DataTable[[#This Row],[COGS-MC_US]]&gt;=0,DataTable[[#This Row],[Manufacturing Price]],DataTable[[#This Row],[COGS]]/DataTable[[#This Row],[Units Sold]])</f>
        <v>3</v>
      </c>
    </row>
    <row r="432" spans="1:19" ht="12.75" x14ac:dyDescent="0.2">
      <c r="A432" s="20">
        <v>41699</v>
      </c>
      <c r="B432" t="s">
        <v>397</v>
      </c>
      <c r="C432" t="s">
        <v>388</v>
      </c>
      <c r="D432" t="s">
        <v>304</v>
      </c>
      <c r="E432" t="str">
        <f>VLOOKUP(DataTable[[#This Row],[Country]],Market!B:C,2,FALSE)</f>
        <v>Europe</v>
      </c>
      <c r="F432" s="24">
        <v>250</v>
      </c>
      <c r="G432" s="24">
        <v>7455</v>
      </c>
      <c r="H432" s="24">
        <v>7</v>
      </c>
      <c r="I432" s="27">
        <v>1491</v>
      </c>
      <c r="J432" s="24">
        <v>10437</v>
      </c>
      <c r="K432" s="24">
        <v>1252.44</v>
      </c>
      <c r="L432" s="1" t="s">
        <v>158</v>
      </c>
      <c r="M432" s="24">
        <v>9184.56</v>
      </c>
      <c r="N432" s="24">
        <f t="shared" si="6"/>
        <v>1729.5599999999995</v>
      </c>
      <c r="O432" t="str">
        <f>IF(DataTable[[#This Row],[Profit]]/DataTable[[#This Row],[COGS]]*100&gt;20,"Achived","Not Achived")</f>
        <v>Achived</v>
      </c>
      <c r="P432" s="25">
        <f>DataTable[[#This Row],[Profit]]/DataTable[[#This Row],[COGS]]</f>
        <v>0.23199999999999993</v>
      </c>
      <c r="Q432">
        <f>DataTable[[#This Row],[Manufacturing Price]]*DataTable[[#This Row],[Units Sold]]</f>
        <v>372750</v>
      </c>
      <c r="R432" s="26">
        <f>DataTable[[#This Row],[COGS]]-DataTable[[#This Row],[MC_US]]</f>
        <v>-365295</v>
      </c>
      <c r="S432" s="26">
        <f>IF(DataTable[[#This Row],[COGS-MC_US]]&gt;=0,DataTable[[#This Row],[Manufacturing Price]],DataTable[[#This Row],[COGS]]/DataTable[[#This Row],[Units Sold]])</f>
        <v>5</v>
      </c>
    </row>
    <row r="433" spans="1:19" ht="12.75" x14ac:dyDescent="0.2">
      <c r="A433" s="20">
        <v>41699</v>
      </c>
      <c r="B433" t="s">
        <v>389</v>
      </c>
      <c r="C433" t="s">
        <v>388</v>
      </c>
      <c r="D433" t="s">
        <v>304</v>
      </c>
      <c r="E433" t="str">
        <f>VLOOKUP(DataTable[[#This Row],[Country]],Market!B:C,2,FALSE)</f>
        <v>Europe</v>
      </c>
      <c r="F433" s="24">
        <v>3</v>
      </c>
      <c r="G433" s="24">
        <v>465400</v>
      </c>
      <c r="H433" s="24">
        <v>350</v>
      </c>
      <c r="I433" s="27">
        <v>1790</v>
      </c>
      <c r="J433" s="24">
        <v>626500</v>
      </c>
      <c r="K433" s="24">
        <v>81445</v>
      </c>
      <c r="L433" s="1" t="s">
        <v>158</v>
      </c>
      <c r="M433" s="24">
        <v>545055</v>
      </c>
      <c r="N433" s="24">
        <f t="shared" si="6"/>
        <v>79655</v>
      </c>
      <c r="O433" t="str">
        <f>IF(DataTable[[#This Row],[Profit]]/DataTable[[#This Row],[COGS]]*100&gt;20,"Achived","Not Achived")</f>
        <v>Not Achived</v>
      </c>
      <c r="P433" s="25">
        <f>DataTable[[#This Row],[Profit]]/DataTable[[#This Row],[COGS]]</f>
        <v>0.17115384615384616</v>
      </c>
      <c r="Q433">
        <f>DataTable[[#This Row],[Manufacturing Price]]*DataTable[[#This Row],[Units Sold]]</f>
        <v>5370</v>
      </c>
      <c r="R433" s="26">
        <f>DataTable[[#This Row],[COGS]]-DataTable[[#This Row],[MC_US]]</f>
        <v>460030</v>
      </c>
      <c r="S433" s="26">
        <f>IF(DataTable[[#This Row],[COGS-MC_US]]&gt;=0,DataTable[[#This Row],[Manufacturing Price]],DataTable[[#This Row],[COGS]]/DataTable[[#This Row],[Units Sold]])</f>
        <v>3</v>
      </c>
    </row>
    <row r="434" spans="1:19" ht="12.75" x14ac:dyDescent="0.2">
      <c r="A434" s="20">
        <v>41852</v>
      </c>
      <c r="B434" t="s">
        <v>395</v>
      </c>
      <c r="C434" t="s">
        <v>388</v>
      </c>
      <c r="D434" t="s">
        <v>304</v>
      </c>
      <c r="E434" t="str">
        <f>VLOOKUP(DataTable[[#This Row],[Country]],Market!B:C,2,FALSE)</f>
        <v>Europe</v>
      </c>
      <c r="F434" s="24">
        <v>10</v>
      </c>
      <c r="G434" s="24">
        <v>13480</v>
      </c>
      <c r="H434" s="24">
        <v>7</v>
      </c>
      <c r="I434" s="27">
        <v>2696</v>
      </c>
      <c r="J434" s="24">
        <v>18872</v>
      </c>
      <c r="K434" s="24">
        <v>2453.36</v>
      </c>
      <c r="L434" s="1" t="s">
        <v>158</v>
      </c>
      <c r="M434" s="24">
        <v>16418.64</v>
      </c>
      <c r="N434" s="24">
        <f t="shared" si="6"/>
        <v>2938.6399999999994</v>
      </c>
      <c r="O434" t="str">
        <f>IF(DataTable[[#This Row],[Profit]]/DataTable[[#This Row],[COGS]]*100&gt;20,"Achived","Not Achived")</f>
        <v>Achived</v>
      </c>
      <c r="P434" s="25">
        <f>DataTable[[#This Row],[Profit]]/DataTable[[#This Row],[COGS]]</f>
        <v>0.21799999999999994</v>
      </c>
      <c r="Q434">
        <f>DataTable[[#This Row],[Manufacturing Price]]*DataTable[[#This Row],[Units Sold]]</f>
        <v>26960</v>
      </c>
      <c r="R434" s="26">
        <f>DataTable[[#This Row],[COGS]]-DataTable[[#This Row],[MC_US]]</f>
        <v>-13480</v>
      </c>
      <c r="S434" s="26">
        <f>IF(DataTable[[#This Row],[COGS-MC_US]]&gt;=0,DataTable[[#This Row],[Manufacturing Price]],DataTable[[#This Row],[COGS]]/DataTable[[#This Row],[Units Sold]])</f>
        <v>5</v>
      </c>
    </row>
    <row r="435" spans="1:19" ht="12.75" x14ac:dyDescent="0.2">
      <c r="A435" s="20">
        <v>41791</v>
      </c>
      <c r="B435" t="s">
        <v>396</v>
      </c>
      <c r="C435" t="s">
        <v>388</v>
      </c>
      <c r="D435" t="s">
        <v>304</v>
      </c>
      <c r="E435" t="str">
        <f>VLOOKUP(DataTable[[#This Row],[Country]],Market!B:C,2,FALSE)</f>
        <v>Europe</v>
      </c>
      <c r="F435" s="24">
        <v>120</v>
      </c>
      <c r="G435" s="24">
        <v>5950</v>
      </c>
      <c r="H435" s="24">
        <v>7</v>
      </c>
      <c r="I435" s="27">
        <v>1190</v>
      </c>
      <c r="J435" s="24">
        <v>8330</v>
      </c>
      <c r="K435" s="24">
        <v>1082.9000000000001</v>
      </c>
      <c r="L435" s="1" t="s">
        <v>158</v>
      </c>
      <c r="M435" s="24">
        <v>7247.1</v>
      </c>
      <c r="N435" s="24">
        <f t="shared" si="6"/>
        <v>1297.1000000000004</v>
      </c>
      <c r="O435" t="str">
        <f>IF(DataTable[[#This Row],[Profit]]/DataTable[[#This Row],[COGS]]*100&gt;20,"Achived","Not Achived")</f>
        <v>Achived</v>
      </c>
      <c r="P435" s="25">
        <f>DataTable[[#This Row],[Profit]]/DataTable[[#This Row],[COGS]]</f>
        <v>0.21800000000000005</v>
      </c>
      <c r="Q435">
        <f>DataTable[[#This Row],[Manufacturing Price]]*DataTable[[#This Row],[Units Sold]]</f>
        <v>142800</v>
      </c>
      <c r="R435" s="26">
        <f>DataTable[[#This Row],[COGS]]-DataTable[[#This Row],[MC_US]]</f>
        <v>-136850</v>
      </c>
      <c r="S435" s="26">
        <f>IF(DataTable[[#This Row],[COGS-MC_US]]&gt;=0,DataTable[[#This Row],[Manufacturing Price]],DataTable[[#This Row],[COGS]]/DataTable[[#This Row],[Units Sold]])</f>
        <v>5</v>
      </c>
    </row>
    <row r="436" spans="1:19" ht="12.75" x14ac:dyDescent="0.2">
      <c r="A436" s="20">
        <v>41791</v>
      </c>
      <c r="B436" t="s">
        <v>398</v>
      </c>
      <c r="C436" t="s">
        <v>388</v>
      </c>
      <c r="D436" t="s">
        <v>304</v>
      </c>
      <c r="E436" t="str">
        <f>VLOOKUP(DataTable[[#This Row],[Country]],Market!B:C,2,FALSE)</f>
        <v>Europe</v>
      </c>
      <c r="F436" s="24">
        <v>260</v>
      </c>
      <c r="G436" s="24">
        <v>5950</v>
      </c>
      <c r="H436" s="24">
        <v>7</v>
      </c>
      <c r="I436" s="27">
        <v>1190</v>
      </c>
      <c r="J436" s="24">
        <v>8330</v>
      </c>
      <c r="K436" s="24">
        <v>1082.9000000000001</v>
      </c>
      <c r="L436" s="1" t="s">
        <v>158</v>
      </c>
      <c r="M436" s="24">
        <v>7247.1</v>
      </c>
      <c r="N436" s="24">
        <f t="shared" si="6"/>
        <v>1297.1000000000004</v>
      </c>
      <c r="O436" t="str">
        <f>IF(DataTable[[#This Row],[Profit]]/DataTable[[#This Row],[COGS]]*100&gt;20,"Achived","Not Achived")</f>
        <v>Achived</v>
      </c>
      <c r="P436" s="25">
        <f>DataTable[[#This Row],[Profit]]/DataTable[[#This Row],[COGS]]</f>
        <v>0.21800000000000005</v>
      </c>
      <c r="Q436">
        <f>DataTable[[#This Row],[Manufacturing Price]]*DataTable[[#This Row],[Units Sold]]</f>
        <v>309400</v>
      </c>
      <c r="R436" s="26">
        <f>DataTable[[#This Row],[COGS]]-DataTable[[#This Row],[MC_US]]</f>
        <v>-303450</v>
      </c>
      <c r="S436" s="26">
        <f>IF(DataTable[[#This Row],[COGS-MC_US]]&gt;=0,DataTable[[#This Row],[Manufacturing Price]],DataTable[[#This Row],[COGS]]/DataTable[[#This Row],[Units Sold]])</f>
        <v>5</v>
      </c>
    </row>
    <row r="437" spans="1:19" ht="12.75" x14ac:dyDescent="0.2">
      <c r="A437" s="20">
        <v>41671</v>
      </c>
      <c r="B437" t="s">
        <v>391</v>
      </c>
      <c r="C437" t="s">
        <v>388</v>
      </c>
      <c r="D437" t="s">
        <v>304</v>
      </c>
      <c r="E437" t="str">
        <f>VLOOKUP(DataTable[[#This Row],[Country]],Market!B:C,2,FALSE)</f>
        <v>Europe</v>
      </c>
      <c r="F437" s="24">
        <v>5</v>
      </c>
      <c r="G437" s="24">
        <v>1465</v>
      </c>
      <c r="H437" s="24">
        <v>7</v>
      </c>
      <c r="I437" s="27">
        <v>293</v>
      </c>
      <c r="J437" s="24">
        <v>2051</v>
      </c>
      <c r="K437" s="24">
        <v>287.14</v>
      </c>
      <c r="L437" s="1" t="s">
        <v>158</v>
      </c>
      <c r="M437" s="24">
        <v>1763.86</v>
      </c>
      <c r="N437" s="24">
        <f t="shared" si="6"/>
        <v>298.8599999999999</v>
      </c>
      <c r="O437" t="str">
        <f>IF(DataTable[[#This Row],[Profit]]/DataTable[[#This Row],[COGS]]*100&gt;20,"Achived","Not Achived")</f>
        <v>Achived</v>
      </c>
      <c r="P437" s="25">
        <f>DataTable[[#This Row],[Profit]]/DataTable[[#This Row],[COGS]]</f>
        <v>0.20399999999999993</v>
      </c>
      <c r="Q437">
        <f>DataTable[[#This Row],[Manufacturing Price]]*DataTable[[#This Row],[Units Sold]]</f>
        <v>1465</v>
      </c>
      <c r="R437" s="26">
        <f>DataTable[[#This Row],[COGS]]-DataTable[[#This Row],[MC_US]]</f>
        <v>0</v>
      </c>
      <c r="S437" s="26">
        <f>IF(DataTable[[#This Row],[COGS-MC_US]]&gt;=0,DataTable[[#This Row],[Manufacturing Price]],DataTable[[#This Row],[COGS]]/DataTable[[#This Row],[Units Sold]])</f>
        <v>5</v>
      </c>
    </row>
    <row r="438" spans="1:19" ht="12.75" x14ac:dyDescent="0.2">
      <c r="A438" s="20">
        <v>41913</v>
      </c>
      <c r="B438" t="s">
        <v>395</v>
      </c>
      <c r="C438" t="s">
        <v>388</v>
      </c>
      <c r="D438" t="s">
        <v>304</v>
      </c>
      <c r="E438" t="str">
        <f>VLOOKUP(DataTable[[#This Row],[Country]],Market!B:C,2,FALSE)</f>
        <v>Europe</v>
      </c>
      <c r="F438" s="24">
        <v>10</v>
      </c>
      <c r="G438" s="24">
        <v>8655</v>
      </c>
      <c r="H438" s="24">
        <v>7</v>
      </c>
      <c r="I438" s="27">
        <v>1731</v>
      </c>
      <c r="J438" s="24">
        <v>12117</v>
      </c>
      <c r="K438" s="24">
        <v>1696.38</v>
      </c>
      <c r="L438" s="1" t="s">
        <v>158</v>
      </c>
      <c r="M438" s="24">
        <v>10420.620000000001</v>
      </c>
      <c r="N438" s="24">
        <f t="shared" si="6"/>
        <v>1765.6200000000008</v>
      </c>
      <c r="O438" t="str">
        <f>IF(DataTable[[#This Row],[Profit]]/DataTable[[#This Row],[COGS]]*100&gt;20,"Achived","Not Achived")</f>
        <v>Achived</v>
      </c>
      <c r="P438" s="25">
        <f>DataTable[[#This Row],[Profit]]/DataTable[[#This Row],[COGS]]</f>
        <v>0.2040000000000001</v>
      </c>
      <c r="Q438">
        <f>DataTable[[#This Row],[Manufacturing Price]]*DataTable[[#This Row],[Units Sold]]</f>
        <v>17310</v>
      </c>
      <c r="R438" s="26">
        <f>DataTable[[#This Row],[COGS]]-DataTable[[#This Row],[MC_US]]</f>
        <v>-8655</v>
      </c>
      <c r="S438" s="26">
        <f>IF(DataTable[[#This Row],[COGS-MC_US]]&gt;=0,DataTable[[#This Row],[Manufacturing Price]],DataTable[[#This Row],[COGS]]/DataTable[[#This Row],[Units Sold]])</f>
        <v>5</v>
      </c>
    </row>
    <row r="439" spans="1:19" ht="12.75" x14ac:dyDescent="0.2">
      <c r="A439" s="20">
        <v>41579</v>
      </c>
      <c r="B439" t="s">
        <v>395</v>
      </c>
      <c r="C439" t="s">
        <v>388</v>
      </c>
      <c r="D439" t="s">
        <v>304</v>
      </c>
      <c r="E439" t="str">
        <f>VLOOKUP(DataTable[[#This Row],[Country]],Market!B:C,2,FALSE)</f>
        <v>Europe</v>
      </c>
      <c r="F439" s="24">
        <v>10</v>
      </c>
      <c r="G439" s="24">
        <v>499720</v>
      </c>
      <c r="H439" s="24">
        <v>350</v>
      </c>
      <c r="I439" s="27">
        <v>1922</v>
      </c>
      <c r="J439" s="24">
        <v>672700</v>
      </c>
      <c r="K439" s="24">
        <v>94178</v>
      </c>
      <c r="L439" s="1" t="s">
        <v>158</v>
      </c>
      <c r="M439" s="24">
        <v>578522</v>
      </c>
      <c r="N439" s="24">
        <f t="shared" si="6"/>
        <v>78802</v>
      </c>
      <c r="O439" t="str">
        <f>IF(DataTable[[#This Row],[Profit]]/DataTable[[#This Row],[COGS]]*100&gt;20,"Achived","Not Achived")</f>
        <v>Not Achived</v>
      </c>
      <c r="P439" s="25">
        <f>DataTable[[#This Row],[Profit]]/DataTable[[#This Row],[COGS]]</f>
        <v>0.15769230769230769</v>
      </c>
      <c r="Q439">
        <f>DataTable[[#This Row],[Manufacturing Price]]*DataTable[[#This Row],[Units Sold]]</f>
        <v>19220</v>
      </c>
      <c r="R439" s="26">
        <f>DataTable[[#This Row],[COGS]]-DataTable[[#This Row],[MC_US]]</f>
        <v>480500</v>
      </c>
      <c r="S439" s="26">
        <f>IF(DataTable[[#This Row],[COGS-MC_US]]&gt;=0,DataTable[[#This Row],[Manufacturing Price]],DataTable[[#This Row],[COGS]]/DataTable[[#This Row],[Units Sold]])</f>
        <v>10</v>
      </c>
    </row>
    <row r="440" spans="1:19" ht="12.75" x14ac:dyDescent="0.2">
      <c r="A440" s="20">
        <v>41609</v>
      </c>
      <c r="B440" t="s">
        <v>397</v>
      </c>
      <c r="C440" t="s">
        <v>388</v>
      </c>
      <c r="D440" t="s">
        <v>304</v>
      </c>
      <c r="E440" t="str">
        <f>VLOOKUP(DataTable[[#This Row],[Country]],Market!B:C,2,FALSE)</f>
        <v>Europe</v>
      </c>
      <c r="F440" s="24">
        <v>250</v>
      </c>
      <c r="G440" s="24">
        <v>333060</v>
      </c>
      <c r="H440" s="24">
        <v>350</v>
      </c>
      <c r="I440" s="27">
        <v>1281</v>
      </c>
      <c r="J440" s="24">
        <v>448350</v>
      </c>
      <c r="K440" s="24">
        <v>62769</v>
      </c>
      <c r="L440" s="1" t="s">
        <v>158</v>
      </c>
      <c r="M440" s="24">
        <v>385581</v>
      </c>
      <c r="N440" s="24">
        <f t="shared" si="6"/>
        <v>52521</v>
      </c>
      <c r="O440" t="str">
        <f>IF(DataTable[[#This Row],[Profit]]/DataTable[[#This Row],[COGS]]*100&gt;20,"Achived","Not Achived")</f>
        <v>Not Achived</v>
      </c>
      <c r="P440" s="25">
        <f>DataTable[[#This Row],[Profit]]/DataTable[[#This Row],[COGS]]</f>
        <v>0.15769230769230769</v>
      </c>
      <c r="Q440">
        <f>DataTable[[#This Row],[Manufacturing Price]]*DataTable[[#This Row],[Units Sold]]</f>
        <v>320250</v>
      </c>
      <c r="R440" s="26">
        <f>DataTable[[#This Row],[COGS]]-DataTable[[#This Row],[MC_US]]</f>
        <v>12810</v>
      </c>
      <c r="S440" s="26">
        <f>IF(DataTable[[#This Row],[COGS-MC_US]]&gt;=0,DataTable[[#This Row],[Manufacturing Price]],DataTable[[#This Row],[COGS]]/DataTable[[#This Row],[Units Sold]])</f>
        <v>250</v>
      </c>
    </row>
    <row r="441" spans="1:19" ht="12.75" x14ac:dyDescent="0.2">
      <c r="A441" s="20">
        <v>41913</v>
      </c>
      <c r="B441" t="s">
        <v>398</v>
      </c>
      <c r="C441" t="s">
        <v>388</v>
      </c>
      <c r="D441" t="s">
        <v>304</v>
      </c>
      <c r="E441" t="str">
        <f>VLOOKUP(DataTable[[#This Row],[Country]],Market!B:C,2,FALSE)</f>
        <v>Europe</v>
      </c>
      <c r="F441" s="24">
        <v>260</v>
      </c>
      <c r="G441" s="24">
        <v>8655</v>
      </c>
      <c r="H441" s="24">
        <v>7</v>
      </c>
      <c r="I441" s="27">
        <v>1731</v>
      </c>
      <c r="J441" s="24">
        <v>12117</v>
      </c>
      <c r="K441" s="24">
        <v>1696.38</v>
      </c>
      <c r="L441" s="1" t="s">
        <v>158</v>
      </c>
      <c r="M441" s="24">
        <v>10420.620000000001</v>
      </c>
      <c r="N441" s="24">
        <f t="shared" si="6"/>
        <v>1765.6200000000008</v>
      </c>
      <c r="O441" t="str">
        <f>IF(DataTable[[#This Row],[Profit]]/DataTable[[#This Row],[COGS]]*100&gt;20,"Achived","Not Achived")</f>
        <v>Achived</v>
      </c>
      <c r="P441" s="25">
        <f>DataTable[[#This Row],[Profit]]/DataTable[[#This Row],[COGS]]</f>
        <v>0.2040000000000001</v>
      </c>
      <c r="Q441">
        <f>DataTable[[#This Row],[Manufacturing Price]]*DataTable[[#This Row],[Units Sold]]</f>
        <v>450060</v>
      </c>
      <c r="R441" s="26">
        <f>DataTable[[#This Row],[COGS]]-DataTable[[#This Row],[MC_US]]</f>
        <v>-441405</v>
      </c>
      <c r="S441" s="26">
        <f>IF(DataTable[[#This Row],[COGS-MC_US]]&gt;=0,DataTable[[#This Row],[Manufacturing Price]],DataTable[[#This Row],[COGS]]/DataTable[[#This Row],[Units Sold]])</f>
        <v>5</v>
      </c>
    </row>
    <row r="442" spans="1:19" ht="12.75" x14ac:dyDescent="0.2">
      <c r="A442" s="20">
        <v>41974</v>
      </c>
      <c r="B442" t="s">
        <v>395</v>
      </c>
      <c r="C442" t="s">
        <v>388</v>
      </c>
      <c r="D442" t="s">
        <v>304</v>
      </c>
      <c r="E442" t="str">
        <f>VLOOKUP(DataTable[[#This Row],[Country]],Market!B:C,2,FALSE)</f>
        <v>Europe</v>
      </c>
      <c r="F442" s="24">
        <v>10</v>
      </c>
      <c r="G442" s="24">
        <v>2930</v>
      </c>
      <c r="H442" s="24">
        <v>20</v>
      </c>
      <c r="I442" s="27">
        <v>293</v>
      </c>
      <c r="J442" s="24">
        <v>5860</v>
      </c>
      <c r="K442" s="24">
        <v>879</v>
      </c>
      <c r="L442" s="1" t="s">
        <v>158</v>
      </c>
      <c r="M442" s="24">
        <v>4981</v>
      </c>
      <c r="N442" s="24">
        <f t="shared" si="6"/>
        <v>2051</v>
      </c>
      <c r="O442" t="str">
        <f>IF(DataTable[[#This Row],[Profit]]/DataTable[[#This Row],[COGS]]*100&gt;20,"Achived","Not Achived")</f>
        <v>Achived</v>
      </c>
      <c r="P442" s="25">
        <f>DataTable[[#This Row],[Profit]]/DataTable[[#This Row],[COGS]]</f>
        <v>0.7</v>
      </c>
      <c r="Q442">
        <f>DataTable[[#This Row],[Manufacturing Price]]*DataTable[[#This Row],[Units Sold]]</f>
        <v>2930</v>
      </c>
      <c r="R442" s="26">
        <f>DataTable[[#This Row],[COGS]]-DataTable[[#This Row],[MC_US]]</f>
        <v>0</v>
      </c>
      <c r="S442" s="26">
        <f>IF(DataTable[[#This Row],[COGS-MC_US]]&gt;=0,DataTable[[#This Row],[Manufacturing Price]],DataTable[[#This Row],[COGS]]/DataTable[[#This Row],[Units Sold]])</f>
        <v>10</v>
      </c>
    </row>
    <row r="443" spans="1:19" ht="12.75" x14ac:dyDescent="0.2">
      <c r="A443" s="20">
        <v>41974</v>
      </c>
      <c r="B443" t="s">
        <v>397</v>
      </c>
      <c r="C443" t="s">
        <v>388</v>
      </c>
      <c r="D443" t="s">
        <v>304</v>
      </c>
      <c r="E443" t="str">
        <f>VLOOKUP(DataTable[[#This Row],[Country]],Market!B:C,2,FALSE)</f>
        <v>Europe</v>
      </c>
      <c r="F443" s="24">
        <v>250</v>
      </c>
      <c r="G443" s="24">
        <v>2930</v>
      </c>
      <c r="H443" s="24">
        <v>20</v>
      </c>
      <c r="I443" s="27">
        <v>293</v>
      </c>
      <c r="J443" s="24">
        <v>5860</v>
      </c>
      <c r="K443" s="24">
        <v>879</v>
      </c>
      <c r="L443" s="1" t="s">
        <v>158</v>
      </c>
      <c r="M443" s="24">
        <v>4981</v>
      </c>
      <c r="N443" s="24">
        <f t="shared" si="6"/>
        <v>2051</v>
      </c>
      <c r="O443" t="str">
        <f>IF(DataTable[[#This Row],[Profit]]/DataTable[[#This Row],[COGS]]*100&gt;20,"Achived","Not Achived")</f>
        <v>Achived</v>
      </c>
      <c r="P443" s="25">
        <f>DataTable[[#This Row],[Profit]]/DataTable[[#This Row],[COGS]]</f>
        <v>0.7</v>
      </c>
      <c r="Q443">
        <f>DataTable[[#This Row],[Manufacturing Price]]*DataTable[[#This Row],[Units Sold]]</f>
        <v>73250</v>
      </c>
      <c r="R443" s="26">
        <f>DataTable[[#This Row],[COGS]]-DataTable[[#This Row],[MC_US]]</f>
        <v>-70320</v>
      </c>
      <c r="S443" s="26">
        <f>IF(DataTable[[#This Row],[COGS-MC_US]]&gt;=0,DataTable[[#This Row],[Manufacturing Price]],DataTable[[#This Row],[COGS]]/DataTable[[#This Row],[Units Sold]])</f>
        <v>10</v>
      </c>
    </row>
    <row r="444" spans="1:19" ht="12.75" hidden="1" x14ac:dyDescent="0.2">
      <c r="A444" s="20">
        <v>41640</v>
      </c>
      <c r="B444" t="s">
        <v>389</v>
      </c>
      <c r="C444" t="s">
        <v>388</v>
      </c>
      <c r="D444" t="s">
        <v>341</v>
      </c>
      <c r="E444" t="str">
        <f>VLOOKUP(DataTable[[#This Row],[Country]],Market!B:C,2,FALSE)</f>
        <v>North America</v>
      </c>
      <c r="F444" s="24">
        <v>3</v>
      </c>
      <c r="G444" s="24">
        <v>16185</v>
      </c>
      <c r="H444" s="24">
        <v>20</v>
      </c>
      <c r="I444" s="27">
        <v>1618.5</v>
      </c>
      <c r="J444" s="24">
        <v>32370</v>
      </c>
      <c r="K444" s="24">
        <v>0</v>
      </c>
      <c r="L444" s="1" t="s">
        <v>12</v>
      </c>
      <c r="M444" s="24">
        <v>32370</v>
      </c>
      <c r="N444" s="24">
        <f t="shared" si="6"/>
        <v>16185</v>
      </c>
      <c r="O444" t="str">
        <f>IF(DataTable[[#This Row],[Profit]]/DataTable[[#This Row],[COGS]]*100&gt;20,"Achived","Not Achived")</f>
        <v>Achived</v>
      </c>
      <c r="P444" s="25">
        <f>DataTable[[#This Row],[Profit]]/DataTable[[#This Row],[COGS]]</f>
        <v>1</v>
      </c>
      <c r="Q444">
        <f>DataTable[[#This Row],[Manufacturing Price]]*DataTable[[#This Row],[Units Sold]]</f>
        <v>4855.5</v>
      </c>
      <c r="R444" s="26">
        <f>DataTable[[#This Row],[COGS]]-DataTable[[#This Row],[MC_US]]</f>
        <v>11329.5</v>
      </c>
      <c r="S444" s="26">
        <f>IF(DataTable[[#This Row],[COGS-MC_US]]&gt;=0,DataTable[[#This Row],[Manufacturing Price]],DataTable[[#This Row],[COGS]]/DataTable[[#This Row],[Units Sold]])</f>
        <v>3</v>
      </c>
    </row>
    <row r="445" spans="1:19" ht="12.75" hidden="1" x14ac:dyDescent="0.2">
      <c r="A445" s="20">
        <v>41671</v>
      </c>
      <c r="B445" t="s">
        <v>395</v>
      </c>
      <c r="C445" t="s">
        <v>388</v>
      </c>
      <c r="D445" t="s">
        <v>341</v>
      </c>
      <c r="E445" t="str">
        <f>VLOOKUP(DataTable[[#This Row],[Country]],Market!B:C,2,FALSE)</f>
        <v>North America</v>
      </c>
      <c r="F445" s="24">
        <v>10</v>
      </c>
      <c r="G445" s="24">
        <v>2920</v>
      </c>
      <c r="H445" s="24">
        <v>20</v>
      </c>
      <c r="I445" s="27">
        <v>292</v>
      </c>
      <c r="J445" s="24">
        <v>5840</v>
      </c>
      <c r="K445" s="24">
        <v>0</v>
      </c>
      <c r="L445" s="1" t="s">
        <v>12</v>
      </c>
      <c r="M445" s="24">
        <v>5840</v>
      </c>
      <c r="N445" s="24">
        <f t="shared" si="6"/>
        <v>2920</v>
      </c>
      <c r="O445" t="str">
        <f>IF(DataTable[[#This Row],[Profit]]/DataTable[[#This Row],[COGS]]*100&gt;20,"Achived","Not Achived")</f>
        <v>Achived</v>
      </c>
      <c r="P445" s="25">
        <f>DataTable[[#This Row],[Profit]]/DataTable[[#This Row],[COGS]]</f>
        <v>1</v>
      </c>
      <c r="Q445">
        <f>DataTable[[#This Row],[Manufacturing Price]]*DataTable[[#This Row],[Units Sold]]</f>
        <v>2920</v>
      </c>
      <c r="R445" s="26">
        <f>DataTable[[#This Row],[COGS]]-DataTable[[#This Row],[MC_US]]</f>
        <v>0</v>
      </c>
      <c r="S445" s="26">
        <f>IF(DataTable[[#This Row],[COGS-MC_US]]&gt;=0,DataTable[[#This Row],[Manufacturing Price]],DataTable[[#This Row],[COGS]]/DataTable[[#This Row],[Units Sold]])</f>
        <v>10</v>
      </c>
    </row>
    <row r="446" spans="1:19" ht="12.75" hidden="1" x14ac:dyDescent="0.2">
      <c r="A446" s="20">
        <v>41579</v>
      </c>
      <c r="B446" t="s">
        <v>395</v>
      </c>
      <c r="C446" t="s">
        <v>388</v>
      </c>
      <c r="D446" t="s">
        <v>341</v>
      </c>
      <c r="E446" t="str">
        <f>VLOOKUP(DataTable[[#This Row],[Country]],Market!B:C,2,FALSE)</f>
        <v>North America</v>
      </c>
      <c r="F446" s="24">
        <v>10</v>
      </c>
      <c r="G446" s="24">
        <v>448500</v>
      </c>
      <c r="H446" s="24">
        <v>350</v>
      </c>
      <c r="I446" s="27">
        <v>1725</v>
      </c>
      <c r="J446" s="24">
        <v>603750</v>
      </c>
      <c r="K446" s="24">
        <v>0</v>
      </c>
      <c r="L446" s="1" t="s">
        <v>12</v>
      </c>
      <c r="M446" s="24">
        <v>603750</v>
      </c>
      <c r="N446" s="24">
        <f t="shared" si="6"/>
        <v>155250</v>
      </c>
      <c r="O446" t="str">
        <f>IF(DataTable[[#This Row],[Profit]]/DataTable[[#This Row],[COGS]]*100&gt;20,"Achived","Not Achived")</f>
        <v>Achived</v>
      </c>
      <c r="P446" s="25">
        <f>DataTable[[#This Row],[Profit]]/DataTable[[#This Row],[COGS]]</f>
        <v>0.34615384615384615</v>
      </c>
      <c r="Q446">
        <f>DataTable[[#This Row],[Manufacturing Price]]*DataTable[[#This Row],[Units Sold]]</f>
        <v>17250</v>
      </c>
      <c r="R446" s="26">
        <f>DataTable[[#This Row],[COGS]]-DataTable[[#This Row],[MC_US]]</f>
        <v>431250</v>
      </c>
      <c r="S446" s="26">
        <f>IF(DataTable[[#This Row],[COGS-MC_US]]&gt;=0,DataTable[[#This Row],[Manufacturing Price]],DataTable[[#This Row],[COGS]]/DataTable[[#This Row],[Units Sold]])</f>
        <v>10</v>
      </c>
    </row>
    <row r="447" spans="1:19" ht="12.75" hidden="1" x14ac:dyDescent="0.2">
      <c r="A447" s="20">
        <v>41974</v>
      </c>
      <c r="B447" t="s">
        <v>395</v>
      </c>
      <c r="C447" t="s">
        <v>388</v>
      </c>
      <c r="D447" t="s">
        <v>341</v>
      </c>
      <c r="E447" t="str">
        <f>VLOOKUP(DataTable[[#This Row],[Country]],Market!B:C,2,FALSE)</f>
        <v>North America</v>
      </c>
      <c r="F447" s="24">
        <v>10</v>
      </c>
      <c r="G447" s="24">
        <v>18170</v>
      </c>
      <c r="H447" s="24">
        <v>20</v>
      </c>
      <c r="I447" s="27">
        <v>1817</v>
      </c>
      <c r="J447" s="24">
        <v>36340</v>
      </c>
      <c r="K447" s="24">
        <v>0</v>
      </c>
      <c r="L447" s="1" t="s">
        <v>12</v>
      </c>
      <c r="M447" s="24">
        <v>36340</v>
      </c>
      <c r="N447" s="24">
        <f t="shared" si="6"/>
        <v>18170</v>
      </c>
      <c r="O447" t="str">
        <f>IF(DataTable[[#This Row],[Profit]]/DataTable[[#This Row],[COGS]]*100&gt;20,"Achived","Not Achived")</f>
        <v>Achived</v>
      </c>
      <c r="P447" s="25">
        <f>DataTable[[#This Row],[Profit]]/DataTable[[#This Row],[COGS]]</f>
        <v>1</v>
      </c>
      <c r="Q447">
        <f>DataTable[[#This Row],[Manufacturing Price]]*DataTable[[#This Row],[Units Sold]]</f>
        <v>18170</v>
      </c>
      <c r="R447" s="26">
        <f>DataTable[[#This Row],[COGS]]-DataTable[[#This Row],[MC_US]]</f>
        <v>0</v>
      </c>
      <c r="S447" s="26">
        <f>IF(DataTable[[#This Row],[COGS-MC_US]]&gt;=0,DataTable[[#This Row],[Manufacturing Price]],DataTable[[#This Row],[COGS]]/DataTable[[#This Row],[Units Sold]])</f>
        <v>10</v>
      </c>
    </row>
    <row r="448" spans="1:19" ht="12.75" hidden="1" x14ac:dyDescent="0.2">
      <c r="A448" s="20">
        <v>41974</v>
      </c>
      <c r="B448" t="s">
        <v>397</v>
      </c>
      <c r="C448" t="s">
        <v>388</v>
      </c>
      <c r="D448" t="s">
        <v>341</v>
      </c>
      <c r="E448" t="str">
        <f>VLOOKUP(DataTable[[#This Row],[Country]],Market!B:C,2,FALSE)</f>
        <v>North America</v>
      </c>
      <c r="F448" s="24">
        <v>250</v>
      </c>
      <c r="G448" s="24">
        <v>18170</v>
      </c>
      <c r="H448" s="24">
        <v>20</v>
      </c>
      <c r="I448" s="27">
        <v>1817</v>
      </c>
      <c r="J448" s="24">
        <v>36340</v>
      </c>
      <c r="K448" s="24">
        <v>0</v>
      </c>
      <c r="L448" s="1" t="s">
        <v>12</v>
      </c>
      <c r="M448" s="24">
        <v>36340</v>
      </c>
      <c r="N448" s="24">
        <f t="shared" si="6"/>
        <v>18170</v>
      </c>
      <c r="O448" t="str">
        <f>IF(DataTable[[#This Row],[Profit]]/DataTable[[#This Row],[COGS]]*100&gt;20,"Achived","Not Achived")</f>
        <v>Achived</v>
      </c>
      <c r="P448" s="25">
        <f>DataTable[[#This Row],[Profit]]/DataTable[[#This Row],[COGS]]</f>
        <v>1</v>
      </c>
      <c r="Q448">
        <f>DataTable[[#This Row],[Manufacturing Price]]*DataTable[[#This Row],[Units Sold]]</f>
        <v>454250</v>
      </c>
      <c r="R448" s="26">
        <f>DataTable[[#This Row],[COGS]]-DataTable[[#This Row],[MC_US]]</f>
        <v>-436080</v>
      </c>
      <c r="S448" s="26">
        <f>IF(DataTable[[#This Row],[COGS-MC_US]]&gt;=0,DataTable[[#This Row],[Manufacturing Price]],DataTable[[#This Row],[COGS]]/DataTable[[#This Row],[Units Sold]])</f>
        <v>10</v>
      </c>
    </row>
    <row r="449" spans="1:19" ht="12.75" hidden="1" x14ac:dyDescent="0.2">
      <c r="A449" s="20">
        <v>41699</v>
      </c>
      <c r="B449" t="s">
        <v>397</v>
      </c>
      <c r="C449" t="s">
        <v>388</v>
      </c>
      <c r="D449" t="s">
        <v>341</v>
      </c>
      <c r="E449" t="str">
        <f>VLOOKUP(DataTable[[#This Row],[Country]],Market!B:C,2,FALSE)</f>
        <v>North America</v>
      </c>
      <c r="F449" s="24">
        <v>250</v>
      </c>
      <c r="G449" s="24">
        <v>6630</v>
      </c>
      <c r="H449" s="24">
        <v>7</v>
      </c>
      <c r="I449" s="27">
        <v>1326</v>
      </c>
      <c r="J449" s="24">
        <v>9282</v>
      </c>
      <c r="K449" s="24">
        <v>92.82</v>
      </c>
      <c r="L449" s="1" t="s">
        <v>57</v>
      </c>
      <c r="M449" s="24">
        <v>9189.18</v>
      </c>
      <c r="N449" s="24">
        <f t="shared" si="6"/>
        <v>2559.1800000000003</v>
      </c>
      <c r="O449" t="str">
        <f>IF(DataTable[[#This Row],[Profit]]/DataTable[[#This Row],[COGS]]*100&gt;20,"Achived","Not Achived")</f>
        <v>Achived</v>
      </c>
      <c r="P449" s="25">
        <f>DataTable[[#This Row],[Profit]]/DataTable[[#This Row],[COGS]]</f>
        <v>0.38600000000000007</v>
      </c>
      <c r="Q449">
        <f>DataTable[[#This Row],[Manufacturing Price]]*DataTable[[#This Row],[Units Sold]]</f>
        <v>331500</v>
      </c>
      <c r="R449" s="26">
        <f>DataTable[[#This Row],[COGS]]-DataTable[[#This Row],[MC_US]]</f>
        <v>-324870</v>
      </c>
      <c r="S449" s="26">
        <f>IF(DataTable[[#This Row],[COGS-MC_US]]&gt;=0,DataTable[[#This Row],[Manufacturing Price]],DataTable[[#This Row],[COGS]]/DataTable[[#This Row],[Units Sold]])</f>
        <v>5</v>
      </c>
    </row>
    <row r="450" spans="1:19" ht="12.75" hidden="1" x14ac:dyDescent="0.2">
      <c r="A450" s="20">
        <v>41852</v>
      </c>
      <c r="B450" t="s">
        <v>391</v>
      </c>
      <c r="C450" t="s">
        <v>388</v>
      </c>
      <c r="D450" t="s">
        <v>341</v>
      </c>
      <c r="E450" t="str">
        <f>VLOOKUP(DataTable[[#This Row],[Country]],Market!B:C,2,FALSE)</f>
        <v>North America</v>
      </c>
      <c r="F450" s="24">
        <v>5</v>
      </c>
      <c r="G450" s="24">
        <v>9150</v>
      </c>
      <c r="H450" s="24">
        <v>7</v>
      </c>
      <c r="I450" s="27">
        <v>1830</v>
      </c>
      <c r="J450" s="24">
        <v>12810</v>
      </c>
      <c r="K450" s="24">
        <v>128.1</v>
      </c>
      <c r="L450" s="1" t="s">
        <v>57</v>
      </c>
      <c r="M450" s="24">
        <v>12681.9</v>
      </c>
      <c r="N450" s="24">
        <f t="shared" si="6"/>
        <v>3531.8999999999996</v>
      </c>
      <c r="O450" t="str">
        <f>IF(DataTable[[#This Row],[Profit]]/DataTable[[#This Row],[COGS]]*100&gt;20,"Achived","Not Achived")</f>
        <v>Achived</v>
      </c>
      <c r="P450" s="25">
        <f>DataTable[[#This Row],[Profit]]/DataTable[[#This Row],[COGS]]</f>
        <v>0.38599999999999995</v>
      </c>
      <c r="Q450">
        <f>DataTable[[#This Row],[Manufacturing Price]]*DataTable[[#This Row],[Units Sold]]</f>
        <v>9150</v>
      </c>
      <c r="R450" s="26">
        <f>DataTable[[#This Row],[COGS]]-DataTable[[#This Row],[MC_US]]</f>
        <v>0</v>
      </c>
      <c r="S450" s="26">
        <f>IF(DataTable[[#This Row],[COGS-MC_US]]&gt;=0,DataTable[[#This Row],[Manufacturing Price]],DataTable[[#This Row],[COGS]]/DataTable[[#This Row],[Units Sold]])</f>
        <v>5</v>
      </c>
    </row>
    <row r="451" spans="1:19" ht="12.75" hidden="1" x14ac:dyDescent="0.2">
      <c r="A451" s="20">
        <v>41579</v>
      </c>
      <c r="B451" t="s">
        <v>396</v>
      </c>
      <c r="C451" t="s">
        <v>388</v>
      </c>
      <c r="D451" t="s">
        <v>341</v>
      </c>
      <c r="E451" t="str">
        <f>VLOOKUP(DataTable[[#This Row],[Country]],Market!B:C,2,FALSE)</f>
        <v>North America</v>
      </c>
      <c r="F451" s="24">
        <v>120</v>
      </c>
      <c r="G451" s="24">
        <v>10460</v>
      </c>
      <c r="H451" s="24">
        <v>7</v>
      </c>
      <c r="I451" s="27">
        <v>2092</v>
      </c>
      <c r="J451" s="24">
        <v>14644</v>
      </c>
      <c r="K451" s="24">
        <v>146.44</v>
      </c>
      <c r="L451" s="1" t="s">
        <v>57</v>
      </c>
      <c r="M451" s="24">
        <v>14497.56</v>
      </c>
      <c r="N451" s="24">
        <f t="shared" si="6"/>
        <v>4037.5599999999995</v>
      </c>
      <c r="O451" t="str">
        <f>IF(DataTable[[#This Row],[Profit]]/DataTable[[#This Row],[COGS]]*100&gt;20,"Achived","Not Achived")</f>
        <v>Achived</v>
      </c>
      <c r="P451" s="25">
        <f>DataTable[[#This Row],[Profit]]/DataTable[[#This Row],[COGS]]</f>
        <v>0.38599999999999995</v>
      </c>
      <c r="Q451">
        <f>DataTable[[#This Row],[Manufacturing Price]]*DataTable[[#This Row],[Units Sold]]</f>
        <v>251040</v>
      </c>
      <c r="R451" s="26">
        <f>DataTable[[#This Row],[COGS]]-DataTable[[#This Row],[MC_US]]</f>
        <v>-240580</v>
      </c>
      <c r="S451" s="26">
        <f>IF(DataTable[[#This Row],[COGS-MC_US]]&gt;=0,DataTable[[#This Row],[Manufacturing Price]],DataTable[[#This Row],[COGS]]/DataTable[[#This Row],[Units Sold]])</f>
        <v>5</v>
      </c>
    </row>
    <row r="452" spans="1:19" ht="12.75" hidden="1" x14ac:dyDescent="0.2">
      <c r="A452" s="20">
        <v>41730</v>
      </c>
      <c r="B452" t="s">
        <v>397</v>
      </c>
      <c r="C452" t="s">
        <v>388</v>
      </c>
      <c r="D452" t="s">
        <v>341</v>
      </c>
      <c r="E452" t="str">
        <f>VLOOKUP(DataTable[[#This Row],[Country]],Market!B:C,2,FALSE)</f>
        <v>North America</v>
      </c>
      <c r="F452" s="24">
        <v>250</v>
      </c>
      <c r="G452" s="24">
        <v>245310</v>
      </c>
      <c r="H452" s="24">
        <v>350</v>
      </c>
      <c r="I452" s="27">
        <v>943.5</v>
      </c>
      <c r="J452" s="24">
        <v>330225</v>
      </c>
      <c r="K452" s="24">
        <v>3302.25</v>
      </c>
      <c r="L452" s="1" t="s">
        <v>57</v>
      </c>
      <c r="M452" s="24">
        <v>326922.75</v>
      </c>
      <c r="N452" s="24">
        <f t="shared" ref="N452:N515" si="7">M452-G452</f>
        <v>81612.75</v>
      </c>
      <c r="O452" t="str">
        <f>IF(DataTable[[#This Row],[Profit]]/DataTable[[#This Row],[COGS]]*100&gt;20,"Achived","Not Achived")</f>
        <v>Achived</v>
      </c>
      <c r="P452" s="25">
        <f>DataTable[[#This Row],[Profit]]/DataTable[[#This Row],[COGS]]</f>
        <v>0.33269230769230768</v>
      </c>
      <c r="Q452">
        <f>DataTable[[#This Row],[Manufacturing Price]]*DataTable[[#This Row],[Units Sold]]</f>
        <v>235875</v>
      </c>
      <c r="R452" s="26">
        <f>DataTable[[#This Row],[COGS]]-DataTable[[#This Row],[MC_US]]</f>
        <v>9435</v>
      </c>
      <c r="S452" s="26">
        <f>IF(DataTable[[#This Row],[COGS-MC_US]]&gt;=0,DataTable[[#This Row],[Manufacturing Price]],DataTable[[#This Row],[COGS]]/DataTable[[#This Row],[Units Sold]])</f>
        <v>250</v>
      </c>
    </row>
    <row r="453" spans="1:19" ht="12.75" hidden="1" x14ac:dyDescent="0.2">
      <c r="A453" s="20">
        <v>41974</v>
      </c>
      <c r="B453" t="s">
        <v>389</v>
      </c>
      <c r="C453" t="s">
        <v>388</v>
      </c>
      <c r="D453" t="s">
        <v>341</v>
      </c>
      <c r="E453" t="str">
        <f>VLOOKUP(DataTable[[#This Row],[Country]],Market!B:C,2,FALSE)</f>
        <v>North America</v>
      </c>
      <c r="F453" s="24">
        <v>3</v>
      </c>
      <c r="G453" s="24">
        <v>741520</v>
      </c>
      <c r="H453" s="24">
        <v>350</v>
      </c>
      <c r="I453" s="27">
        <v>2852</v>
      </c>
      <c r="J453" s="24">
        <v>998200</v>
      </c>
      <c r="K453" s="24">
        <v>19964</v>
      </c>
      <c r="L453" s="1" t="s">
        <v>57</v>
      </c>
      <c r="M453" s="24">
        <v>978236</v>
      </c>
      <c r="N453" s="24">
        <f t="shared" si="7"/>
        <v>236716</v>
      </c>
      <c r="O453" t="str">
        <f>IF(DataTable[[#This Row],[Profit]]/DataTable[[#This Row],[COGS]]*100&gt;20,"Achived","Not Achived")</f>
        <v>Achived</v>
      </c>
      <c r="P453" s="25">
        <f>DataTable[[#This Row],[Profit]]/DataTable[[#This Row],[COGS]]</f>
        <v>0.31923076923076921</v>
      </c>
      <c r="Q453">
        <f>DataTable[[#This Row],[Manufacturing Price]]*DataTable[[#This Row],[Units Sold]]</f>
        <v>8556</v>
      </c>
      <c r="R453" s="26">
        <f>DataTable[[#This Row],[COGS]]-DataTable[[#This Row],[MC_US]]</f>
        <v>732964</v>
      </c>
      <c r="S453" s="26">
        <f>IF(DataTable[[#This Row],[COGS-MC_US]]&gt;=0,DataTable[[#This Row],[Manufacturing Price]],DataTable[[#This Row],[COGS]]/DataTable[[#This Row],[Units Sold]])</f>
        <v>3</v>
      </c>
    </row>
    <row r="454" spans="1:19" ht="12.75" hidden="1" x14ac:dyDescent="0.2">
      <c r="A454" s="20">
        <v>41974</v>
      </c>
      <c r="B454" t="s">
        <v>395</v>
      </c>
      <c r="C454" t="s">
        <v>388</v>
      </c>
      <c r="D454" t="s">
        <v>341</v>
      </c>
      <c r="E454" t="str">
        <f>VLOOKUP(DataTable[[#This Row],[Country]],Market!B:C,2,FALSE)</f>
        <v>North America</v>
      </c>
      <c r="F454" s="24">
        <v>10</v>
      </c>
      <c r="G454" s="24">
        <v>741520</v>
      </c>
      <c r="H454" s="24">
        <v>350</v>
      </c>
      <c r="I454" s="27">
        <v>2852</v>
      </c>
      <c r="J454" s="24">
        <v>998200</v>
      </c>
      <c r="K454" s="24">
        <v>19964</v>
      </c>
      <c r="L454" s="1" t="s">
        <v>57</v>
      </c>
      <c r="M454" s="24">
        <v>978236</v>
      </c>
      <c r="N454" s="24">
        <f t="shared" si="7"/>
        <v>236716</v>
      </c>
      <c r="O454" t="str">
        <f>IF(DataTable[[#This Row],[Profit]]/DataTable[[#This Row],[COGS]]*100&gt;20,"Achived","Not Achived")</f>
        <v>Achived</v>
      </c>
      <c r="P454" s="25">
        <f>DataTable[[#This Row],[Profit]]/DataTable[[#This Row],[COGS]]</f>
        <v>0.31923076923076921</v>
      </c>
      <c r="Q454">
        <f>DataTable[[#This Row],[Manufacturing Price]]*DataTable[[#This Row],[Units Sold]]</f>
        <v>28520</v>
      </c>
      <c r="R454" s="26">
        <f>DataTable[[#This Row],[COGS]]-DataTable[[#This Row],[MC_US]]</f>
        <v>713000</v>
      </c>
      <c r="S454" s="26">
        <f>IF(DataTable[[#This Row],[COGS-MC_US]]&gt;=0,DataTable[[#This Row],[Manufacturing Price]],DataTable[[#This Row],[COGS]]/DataTable[[#This Row],[Units Sold]])</f>
        <v>10</v>
      </c>
    </row>
    <row r="455" spans="1:19" ht="12.75" hidden="1" x14ac:dyDescent="0.2">
      <c r="A455" s="20">
        <v>41760</v>
      </c>
      <c r="B455" t="s">
        <v>389</v>
      </c>
      <c r="C455" t="s">
        <v>388</v>
      </c>
      <c r="D455" t="s">
        <v>341</v>
      </c>
      <c r="E455" t="str">
        <f>VLOOKUP(DataTable[[#This Row],[Country]],Market!B:C,2,FALSE)</f>
        <v>North America</v>
      </c>
      <c r="F455" s="24">
        <v>3</v>
      </c>
      <c r="G455" s="24">
        <v>8310</v>
      </c>
      <c r="H455" s="24">
        <v>20</v>
      </c>
      <c r="I455" s="27">
        <v>831</v>
      </c>
      <c r="J455" s="24">
        <v>16620</v>
      </c>
      <c r="K455" s="24">
        <v>498.6</v>
      </c>
      <c r="L455" s="1" t="s">
        <v>57</v>
      </c>
      <c r="M455" s="24">
        <v>16121.4</v>
      </c>
      <c r="N455" s="24">
        <f t="shared" si="7"/>
        <v>7811.4</v>
      </c>
      <c r="O455" t="str">
        <f>IF(DataTable[[#This Row],[Profit]]/DataTable[[#This Row],[COGS]]*100&gt;20,"Achived","Not Achived")</f>
        <v>Achived</v>
      </c>
      <c r="P455" s="25">
        <f>DataTable[[#This Row],[Profit]]/DataTable[[#This Row],[COGS]]</f>
        <v>0.94</v>
      </c>
      <c r="Q455">
        <f>DataTable[[#This Row],[Manufacturing Price]]*DataTable[[#This Row],[Units Sold]]</f>
        <v>2493</v>
      </c>
      <c r="R455" s="26">
        <f>DataTable[[#This Row],[COGS]]-DataTable[[#This Row],[MC_US]]</f>
        <v>5817</v>
      </c>
      <c r="S455" s="26">
        <f>IF(DataTable[[#This Row],[COGS-MC_US]]&gt;=0,DataTable[[#This Row],[Manufacturing Price]],DataTable[[#This Row],[COGS]]/DataTable[[#This Row],[Units Sold]])</f>
        <v>3</v>
      </c>
    </row>
    <row r="456" spans="1:19" ht="12.75" hidden="1" x14ac:dyDescent="0.2">
      <c r="A456" s="20">
        <v>41730</v>
      </c>
      <c r="B456" t="s">
        <v>396</v>
      </c>
      <c r="C456" t="s">
        <v>388</v>
      </c>
      <c r="D456" t="s">
        <v>341</v>
      </c>
      <c r="E456" t="str">
        <f>VLOOKUP(DataTable[[#This Row],[Country]],Market!B:C,2,FALSE)</f>
        <v>North America</v>
      </c>
      <c r="F456" s="24">
        <v>120</v>
      </c>
      <c r="G456" s="24">
        <v>38505</v>
      </c>
      <c r="H456" s="24">
        <v>20</v>
      </c>
      <c r="I456" s="27">
        <v>3850.5</v>
      </c>
      <c r="J456" s="24">
        <v>77010</v>
      </c>
      <c r="K456" s="24">
        <v>2310.3000000000002</v>
      </c>
      <c r="L456" s="1" t="s">
        <v>57</v>
      </c>
      <c r="M456" s="24">
        <v>74699.7</v>
      </c>
      <c r="N456" s="24">
        <f t="shared" si="7"/>
        <v>36194.699999999997</v>
      </c>
      <c r="O456" t="str">
        <f>IF(DataTable[[#This Row],[Profit]]/DataTable[[#This Row],[COGS]]*100&gt;20,"Achived","Not Achived")</f>
        <v>Achived</v>
      </c>
      <c r="P456" s="25">
        <f>DataTable[[#This Row],[Profit]]/DataTable[[#This Row],[COGS]]</f>
        <v>0.94</v>
      </c>
      <c r="Q456">
        <f>DataTable[[#This Row],[Manufacturing Price]]*DataTable[[#This Row],[Units Sold]]</f>
        <v>462060</v>
      </c>
      <c r="R456" s="26">
        <f>DataTable[[#This Row],[COGS]]-DataTable[[#This Row],[MC_US]]</f>
        <v>-423555</v>
      </c>
      <c r="S456" s="26">
        <f>IF(DataTable[[#This Row],[COGS-MC_US]]&gt;=0,DataTable[[#This Row],[Manufacturing Price]],DataTable[[#This Row],[COGS]]/DataTable[[#This Row],[Units Sold]])</f>
        <v>10</v>
      </c>
    </row>
    <row r="457" spans="1:19" ht="12.75" hidden="1" x14ac:dyDescent="0.2">
      <c r="A457" s="20">
        <v>41548</v>
      </c>
      <c r="B457" t="s">
        <v>389</v>
      </c>
      <c r="C457" t="s">
        <v>388</v>
      </c>
      <c r="D457" t="s">
        <v>341</v>
      </c>
      <c r="E457" t="str">
        <f>VLOOKUP(DataTable[[#This Row],[Country]],Market!B:C,2,FALSE)</f>
        <v>North America</v>
      </c>
      <c r="F457" s="24">
        <v>3</v>
      </c>
      <c r="G457" s="24">
        <v>14255</v>
      </c>
      <c r="H457" s="24">
        <v>7</v>
      </c>
      <c r="I457" s="27">
        <v>2851</v>
      </c>
      <c r="J457" s="24">
        <v>19957</v>
      </c>
      <c r="K457" s="24">
        <v>798.28</v>
      </c>
      <c r="L457" s="1" t="s">
        <v>57</v>
      </c>
      <c r="M457" s="24">
        <v>19158.72</v>
      </c>
      <c r="N457" s="24">
        <f t="shared" si="7"/>
        <v>4903.7200000000012</v>
      </c>
      <c r="O457" t="str">
        <f>IF(DataTable[[#This Row],[Profit]]/DataTable[[#This Row],[COGS]]*100&gt;20,"Achived","Not Achived")</f>
        <v>Achived</v>
      </c>
      <c r="P457" s="25">
        <f>DataTable[[#This Row],[Profit]]/DataTable[[#This Row],[COGS]]</f>
        <v>0.34400000000000008</v>
      </c>
      <c r="Q457">
        <f>DataTable[[#This Row],[Manufacturing Price]]*DataTable[[#This Row],[Units Sold]]</f>
        <v>8553</v>
      </c>
      <c r="R457" s="26">
        <f>DataTable[[#This Row],[COGS]]-DataTable[[#This Row],[MC_US]]</f>
        <v>5702</v>
      </c>
      <c r="S457" s="26">
        <f>IF(DataTable[[#This Row],[COGS-MC_US]]&gt;=0,DataTable[[#This Row],[Manufacturing Price]],DataTable[[#This Row],[COGS]]/DataTable[[#This Row],[Units Sold]])</f>
        <v>3</v>
      </c>
    </row>
    <row r="458" spans="1:19" ht="12.75" hidden="1" x14ac:dyDescent="0.2">
      <c r="A458" s="20">
        <v>41548</v>
      </c>
      <c r="B458" t="s">
        <v>391</v>
      </c>
      <c r="C458" t="s">
        <v>388</v>
      </c>
      <c r="D458" t="s">
        <v>341</v>
      </c>
      <c r="E458" t="str">
        <f>VLOOKUP(DataTable[[#This Row],[Country]],Market!B:C,2,FALSE)</f>
        <v>North America</v>
      </c>
      <c r="F458" s="24">
        <v>5</v>
      </c>
      <c r="G458" s="24">
        <v>14255</v>
      </c>
      <c r="H458" s="24">
        <v>7</v>
      </c>
      <c r="I458" s="27">
        <v>2851</v>
      </c>
      <c r="J458" s="24">
        <v>19957</v>
      </c>
      <c r="K458" s="24">
        <v>798.28</v>
      </c>
      <c r="L458" s="1" t="s">
        <v>57</v>
      </c>
      <c r="M458" s="24">
        <v>19158.72</v>
      </c>
      <c r="N458" s="24">
        <f t="shared" si="7"/>
        <v>4903.7200000000012</v>
      </c>
      <c r="O458" t="str">
        <f>IF(DataTable[[#This Row],[Profit]]/DataTable[[#This Row],[COGS]]*100&gt;20,"Achived","Not Achived")</f>
        <v>Achived</v>
      </c>
      <c r="P458" s="25">
        <f>DataTable[[#This Row],[Profit]]/DataTable[[#This Row],[COGS]]</f>
        <v>0.34400000000000008</v>
      </c>
      <c r="Q458">
        <f>DataTable[[#This Row],[Manufacturing Price]]*DataTable[[#This Row],[Units Sold]]</f>
        <v>14255</v>
      </c>
      <c r="R458" s="26">
        <f>DataTable[[#This Row],[COGS]]-DataTable[[#This Row],[MC_US]]</f>
        <v>0</v>
      </c>
      <c r="S458" s="26">
        <f>IF(DataTable[[#This Row],[COGS-MC_US]]&gt;=0,DataTable[[#This Row],[Manufacturing Price]],DataTable[[#This Row],[COGS]]/DataTable[[#This Row],[Units Sold]])</f>
        <v>5</v>
      </c>
    </row>
    <row r="459" spans="1:19" ht="12.75" hidden="1" x14ac:dyDescent="0.2">
      <c r="A459" s="20">
        <v>41640</v>
      </c>
      <c r="B459" t="s">
        <v>395</v>
      </c>
      <c r="C459" t="s">
        <v>388</v>
      </c>
      <c r="D459" t="s">
        <v>341</v>
      </c>
      <c r="E459" t="str">
        <f>VLOOKUP(DataTable[[#This Row],[Country]],Market!B:C,2,FALSE)</f>
        <v>North America</v>
      </c>
      <c r="F459" s="24">
        <v>10</v>
      </c>
      <c r="G459" s="24">
        <v>21255</v>
      </c>
      <c r="H459" s="24">
        <v>7</v>
      </c>
      <c r="I459" s="27">
        <v>4251</v>
      </c>
      <c r="J459" s="24">
        <v>29757</v>
      </c>
      <c r="K459" s="24">
        <v>1190.28</v>
      </c>
      <c r="L459" s="1" t="s">
        <v>57</v>
      </c>
      <c r="M459" s="24">
        <v>28566.720000000001</v>
      </c>
      <c r="N459" s="24">
        <f t="shared" si="7"/>
        <v>7311.7200000000012</v>
      </c>
      <c r="O459" t="str">
        <f>IF(DataTable[[#This Row],[Profit]]/DataTable[[#This Row],[COGS]]*100&gt;20,"Achived","Not Achived")</f>
        <v>Achived</v>
      </c>
      <c r="P459" s="25">
        <f>DataTable[[#This Row],[Profit]]/DataTable[[#This Row],[COGS]]</f>
        <v>0.34400000000000003</v>
      </c>
      <c r="Q459">
        <f>DataTable[[#This Row],[Manufacturing Price]]*DataTable[[#This Row],[Units Sold]]</f>
        <v>42510</v>
      </c>
      <c r="R459" s="26">
        <f>DataTable[[#This Row],[COGS]]-DataTable[[#This Row],[MC_US]]</f>
        <v>-21255</v>
      </c>
      <c r="S459" s="26">
        <f>IF(DataTable[[#This Row],[COGS-MC_US]]&gt;=0,DataTable[[#This Row],[Manufacturing Price]],DataTable[[#This Row],[COGS]]/DataTable[[#This Row],[Units Sold]])</f>
        <v>5</v>
      </c>
    </row>
    <row r="460" spans="1:19" ht="12.75" hidden="1" x14ac:dyDescent="0.2">
      <c r="A460" s="20">
        <v>41883</v>
      </c>
      <c r="B460" t="s">
        <v>395</v>
      </c>
      <c r="C460" t="s">
        <v>388</v>
      </c>
      <c r="D460" t="s">
        <v>341</v>
      </c>
      <c r="E460" t="str">
        <f>VLOOKUP(DataTable[[#This Row],[Country]],Market!B:C,2,FALSE)</f>
        <v>North America</v>
      </c>
      <c r="F460" s="24">
        <v>10</v>
      </c>
      <c r="G460" s="24">
        <v>20740</v>
      </c>
      <c r="H460" s="24">
        <v>20</v>
      </c>
      <c r="I460" s="27">
        <v>2074</v>
      </c>
      <c r="J460" s="24">
        <v>41480</v>
      </c>
      <c r="K460" s="24">
        <v>1659.2</v>
      </c>
      <c r="L460" s="1" t="s">
        <v>57</v>
      </c>
      <c r="M460" s="24">
        <v>39820.800000000003</v>
      </c>
      <c r="N460" s="24">
        <f t="shared" si="7"/>
        <v>19080.800000000003</v>
      </c>
      <c r="O460" t="str">
        <f>IF(DataTable[[#This Row],[Profit]]/DataTable[[#This Row],[COGS]]*100&gt;20,"Achived","Not Achived")</f>
        <v>Achived</v>
      </c>
      <c r="P460" s="25">
        <f>DataTable[[#This Row],[Profit]]/DataTable[[#This Row],[COGS]]</f>
        <v>0.92000000000000015</v>
      </c>
      <c r="Q460">
        <f>DataTable[[#This Row],[Manufacturing Price]]*DataTable[[#This Row],[Units Sold]]</f>
        <v>20740</v>
      </c>
      <c r="R460" s="26">
        <f>DataTable[[#This Row],[COGS]]-DataTable[[#This Row],[MC_US]]</f>
        <v>0</v>
      </c>
      <c r="S460" s="26">
        <f>IF(DataTable[[#This Row],[COGS-MC_US]]&gt;=0,DataTable[[#This Row],[Manufacturing Price]],DataTable[[#This Row],[COGS]]/DataTable[[#This Row],[Units Sold]])</f>
        <v>10</v>
      </c>
    </row>
    <row r="461" spans="1:19" ht="12.75" hidden="1" x14ac:dyDescent="0.2">
      <c r="A461" s="20">
        <v>41518</v>
      </c>
      <c r="B461" t="s">
        <v>396</v>
      </c>
      <c r="C461" t="s">
        <v>388</v>
      </c>
      <c r="D461" t="s">
        <v>341</v>
      </c>
      <c r="E461" t="str">
        <f>VLOOKUP(DataTable[[#This Row],[Country]],Market!B:C,2,FALSE)</f>
        <v>North America</v>
      </c>
      <c r="F461" s="24">
        <v>120</v>
      </c>
      <c r="G461" s="24">
        <v>26460</v>
      </c>
      <c r="H461" s="24">
        <v>20</v>
      </c>
      <c r="I461" s="27">
        <v>2646</v>
      </c>
      <c r="J461" s="24">
        <v>52920</v>
      </c>
      <c r="K461" s="24">
        <v>2116.8000000000002</v>
      </c>
      <c r="L461" s="1" t="s">
        <v>57</v>
      </c>
      <c r="M461" s="24">
        <v>50803.199999999997</v>
      </c>
      <c r="N461" s="24">
        <f t="shared" si="7"/>
        <v>24343.199999999997</v>
      </c>
      <c r="O461" t="str">
        <f>IF(DataTable[[#This Row],[Profit]]/DataTable[[#This Row],[COGS]]*100&gt;20,"Achived","Not Achived")</f>
        <v>Achived</v>
      </c>
      <c r="P461" s="25">
        <f>DataTable[[#This Row],[Profit]]/DataTable[[#This Row],[COGS]]</f>
        <v>0.91999999999999993</v>
      </c>
      <c r="Q461">
        <f>DataTable[[#This Row],[Manufacturing Price]]*DataTable[[#This Row],[Units Sold]]</f>
        <v>317520</v>
      </c>
      <c r="R461" s="26">
        <f>DataTable[[#This Row],[COGS]]-DataTable[[#This Row],[MC_US]]</f>
        <v>-291060</v>
      </c>
      <c r="S461" s="26">
        <f>IF(DataTable[[#This Row],[COGS-MC_US]]&gt;=0,DataTable[[#This Row],[Manufacturing Price]],DataTable[[#This Row],[COGS]]/DataTable[[#This Row],[Units Sold]])</f>
        <v>10</v>
      </c>
    </row>
    <row r="462" spans="1:19" ht="12.75" hidden="1" x14ac:dyDescent="0.2">
      <c r="A462" s="20">
        <v>41609</v>
      </c>
      <c r="B462" t="s">
        <v>398</v>
      </c>
      <c r="C462" t="s">
        <v>388</v>
      </c>
      <c r="D462" t="s">
        <v>341</v>
      </c>
      <c r="E462" t="str">
        <f>VLOOKUP(DataTable[[#This Row],[Country]],Market!B:C,2,FALSE)</f>
        <v>North America</v>
      </c>
      <c r="F462" s="24">
        <v>260</v>
      </c>
      <c r="G462" s="24">
        <v>462280</v>
      </c>
      <c r="H462" s="24">
        <v>350</v>
      </c>
      <c r="I462" s="27">
        <v>1778</v>
      </c>
      <c r="J462" s="24">
        <v>622300</v>
      </c>
      <c r="K462" s="24">
        <v>24892</v>
      </c>
      <c r="L462" s="1" t="s">
        <v>57</v>
      </c>
      <c r="M462" s="24">
        <v>597408</v>
      </c>
      <c r="N462" s="24">
        <f t="shared" si="7"/>
        <v>135128</v>
      </c>
      <c r="O462" t="str">
        <f>IF(DataTable[[#This Row],[Profit]]/DataTable[[#This Row],[COGS]]*100&gt;20,"Achived","Not Achived")</f>
        <v>Achived</v>
      </c>
      <c r="P462" s="25">
        <f>DataTable[[#This Row],[Profit]]/DataTable[[#This Row],[COGS]]</f>
        <v>0.29230769230769232</v>
      </c>
      <c r="Q462">
        <f>DataTable[[#This Row],[Manufacturing Price]]*DataTable[[#This Row],[Units Sold]]</f>
        <v>462280</v>
      </c>
      <c r="R462" s="26">
        <f>DataTable[[#This Row],[COGS]]-DataTable[[#This Row],[MC_US]]</f>
        <v>0</v>
      </c>
      <c r="S462" s="26">
        <f>IF(DataTable[[#This Row],[COGS-MC_US]]&gt;=0,DataTable[[#This Row],[Manufacturing Price]],DataTable[[#This Row],[COGS]]/DataTable[[#This Row],[Units Sold]])</f>
        <v>260</v>
      </c>
    </row>
    <row r="463" spans="1:19" ht="12.75" hidden="1" x14ac:dyDescent="0.2">
      <c r="A463" s="20">
        <v>41518</v>
      </c>
      <c r="B463" t="s">
        <v>395</v>
      </c>
      <c r="C463" t="s">
        <v>388</v>
      </c>
      <c r="D463" t="s">
        <v>341</v>
      </c>
      <c r="E463" t="str">
        <f>VLOOKUP(DataTable[[#This Row],[Country]],Market!B:C,2,FALSE)</f>
        <v>North America</v>
      </c>
      <c r="F463" s="24">
        <v>10</v>
      </c>
      <c r="G463" s="24">
        <v>11745</v>
      </c>
      <c r="H463" s="24">
        <v>7</v>
      </c>
      <c r="I463" s="27">
        <v>2349</v>
      </c>
      <c r="J463" s="24">
        <v>16443</v>
      </c>
      <c r="K463" s="24">
        <v>822.15</v>
      </c>
      <c r="L463" s="1" t="s">
        <v>124</v>
      </c>
      <c r="M463" s="24">
        <v>15620.85</v>
      </c>
      <c r="N463" s="24">
        <f t="shared" si="7"/>
        <v>3875.8500000000004</v>
      </c>
      <c r="O463" t="str">
        <f>IF(DataTable[[#This Row],[Profit]]/DataTable[[#This Row],[COGS]]*100&gt;20,"Achived","Not Achived")</f>
        <v>Achived</v>
      </c>
      <c r="P463" s="25">
        <f>DataTable[[#This Row],[Profit]]/DataTable[[#This Row],[COGS]]</f>
        <v>0.33</v>
      </c>
      <c r="Q463">
        <f>DataTable[[#This Row],[Manufacturing Price]]*DataTable[[#This Row],[Units Sold]]</f>
        <v>23490</v>
      </c>
      <c r="R463" s="26">
        <f>DataTable[[#This Row],[COGS]]-DataTable[[#This Row],[MC_US]]</f>
        <v>-11745</v>
      </c>
      <c r="S463" s="26">
        <f>IF(DataTable[[#This Row],[COGS-MC_US]]&gt;=0,DataTable[[#This Row],[Manufacturing Price]],DataTable[[#This Row],[COGS]]/DataTable[[#This Row],[Units Sold]])</f>
        <v>5</v>
      </c>
    </row>
    <row r="464" spans="1:19" ht="12.75" hidden="1" x14ac:dyDescent="0.2">
      <c r="A464" s="20">
        <v>41548</v>
      </c>
      <c r="B464" t="s">
        <v>395</v>
      </c>
      <c r="C464" t="s">
        <v>388</v>
      </c>
      <c r="D464" t="s">
        <v>341</v>
      </c>
      <c r="E464" t="str">
        <f>VLOOKUP(DataTable[[#This Row],[Country]],Market!B:C,2,FALSE)</f>
        <v>North America</v>
      </c>
      <c r="F464" s="24">
        <v>10</v>
      </c>
      <c r="G464" s="24">
        <v>319280</v>
      </c>
      <c r="H464" s="24">
        <v>350</v>
      </c>
      <c r="I464" s="27">
        <v>1228</v>
      </c>
      <c r="J464" s="24">
        <v>429800</v>
      </c>
      <c r="K464" s="24">
        <v>21490</v>
      </c>
      <c r="L464" s="1" t="s">
        <v>124</v>
      </c>
      <c r="M464" s="24">
        <v>408310</v>
      </c>
      <c r="N464" s="24">
        <f t="shared" si="7"/>
        <v>89030</v>
      </c>
      <c r="O464" t="str">
        <f>IF(DataTable[[#This Row],[Profit]]/DataTable[[#This Row],[COGS]]*100&gt;20,"Achived","Not Achived")</f>
        <v>Achived</v>
      </c>
      <c r="P464" s="25">
        <f>DataTable[[#This Row],[Profit]]/DataTable[[#This Row],[COGS]]</f>
        <v>0.27884615384615385</v>
      </c>
      <c r="Q464">
        <f>DataTable[[#This Row],[Manufacturing Price]]*DataTable[[#This Row],[Units Sold]]</f>
        <v>12280</v>
      </c>
      <c r="R464" s="26">
        <f>DataTable[[#This Row],[COGS]]-DataTable[[#This Row],[MC_US]]</f>
        <v>307000</v>
      </c>
      <c r="S464" s="26">
        <f>IF(DataTable[[#This Row],[COGS-MC_US]]&gt;=0,DataTable[[#This Row],[Manufacturing Price]],DataTable[[#This Row],[COGS]]/DataTable[[#This Row],[Units Sold]])</f>
        <v>10</v>
      </c>
    </row>
    <row r="465" spans="1:19" ht="12.75" hidden="1" x14ac:dyDescent="0.2">
      <c r="A465" s="20">
        <v>41548</v>
      </c>
      <c r="B465" t="s">
        <v>395</v>
      </c>
      <c r="C465" t="s">
        <v>388</v>
      </c>
      <c r="D465" t="s">
        <v>341</v>
      </c>
      <c r="E465" t="str">
        <f>VLOOKUP(DataTable[[#This Row],[Country]],Market!B:C,2,FALSE)</f>
        <v>North America</v>
      </c>
      <c r="F465" s="24">
        <v>10</v>
      </c>
      <c r="G465" s="24">
        <v>13890</v>
      </c>
      <c r="H465" s="24">
        <v>20</v>
      </c>
      <c r="I465" s="27">
        <v>1389</v>
      </c>
      <c r="J465" s="24">
        <v>27780</v>
      </c>
      <c r="K465" s="24">
        <v>1389</v>
      </c>
      <c r="L465" s="1" t="s">
        <v>124</v>
      </c>
      <c r="M465" s="24">
        <v>26391</v>
      </c>
      <c r="N465" s="24">
        <f t="shared" si="7"/>
        <v>12501</v>
      </c>
      <c r="O465" t="str">
        <f>IF(DataTable[[#This Row],[Profit]]/DataTable[[#This Row],[COGS]]*100&gt;20,"Achived","Not Achived")</f>
        <v>Achived</v>
      </c>
      <c r="P465" s="25">
        <f>DataTable[[#This Row],[Profit]]/DataTable[[#This Row],[COGS]]</f>
        <v>0.9</v>
      </c>
      <c r="Q465">
        <f>DataTable[[#This Row],[Manufacturing Price]]*DataTable[[#This Row],[Units Sold]]</f>
        <v>13890</v>
      </c>
      <c r="R465" s="26">
        <f>DataTable[[#This Row],[COGS]]-DataTable[[#This Row],[MC_US]]</f>
        <v>0</v>
      </c>
      <c r="S465" s="26">
        <f>IF(DataTable[[#This Row],[COGS-MC_US]]&gt;=0,DataTable[[#This Row],[Manufacturing Price]],DataTable[[#This Row],[COGS]]/DataTable[[#This Row],[Units Sold]])</f>
        <v>10</v>
      </c>
    </row>
    <row r="466" spans="1:19" ht="12.75" hidden="1" x14ac:dyDescent="0.2">
      <c r="A466" s="20">
        <v>41609</v>
      </c>
      <c r="B466" t="s">
        <v>395</v>
      </c>
      <c r="C466" t="s">
        <v>388</v>
      </c>
      <c r="D466" t="s">
        <v>341</v>
      </c>
      <c r="E466" t="str">
        <f>VLOOKUP(DataTable[[#This Row],[Country]],Market!B:C,2,FALSE)</f>
        <v>North America</v>
      </c>
      <c r="F466" s="24">
        <v>10</v>
      </c>
      <c r="G466" s="24">
        <v>18020</v>
      </c>
      <c r="H466" s="24">
        <v>20</v>
      </c>
      <c r="I466" s="27">
        <v>1802</v>
      </c>
      <c r="J466" s="24">
        <v>36040</v>
      </c>
      <c r="K466" s="24">
        <v>1802</v>
      </c>
      <c r="L466" s="1" t="s">
        <v>124</v>
      </c>
      <c r="M466" s="24">
        <v>34238</v>
      </c>
      <c r="N466" s="24">
        <f t="shared" si="7"/>
        <v>16218</v>
      </c>
      <c r="O466" t="str">
        <f>IF(DataTable[[#This Row],[Profit]]/DataTable[[#This Row],[COGS]]*100&gt;20,"Achived","Not Achived")</f>
        <v>Achived</v>
      </c>
      <c r="P466" s="25">
        <f>DataTable[[#This Row],[Profit]]/DataTable[[#This Row],[COGS]]</f>
        <v>0.9</v>
      </c>
      <c r="Q466">
        <f>DataTable[[#This Row],[Manufacturing Price]]*DataTable[[#This Row],[Units Sold]]</f>
        <v>18020</v>
      </c>
      <c r="R466" s="26">
        <f>DataTable[[#This Row],[COGS]]-DataTable[[#This Row],[MC_US]]</f>
        <v>0</v>
      </c>
      <c r="S466" s="26">
        <f>IF(DataTable[[#This Row],[COGS-MC_US]]&gt;=0,DataTable[[#This Row],[Manufacturing Price]],DataTable[[#This Row],[COGS]]/DataTable[[#This Row],[Units Sold]])</f>
        <v>10</v>
      </c>
    </row>
    <row r="467" spans="1:19" ht="12.75" hidden="1" x14ac:dyDescent="0.2">
      <c r="A467" s="20">
        <v>41548</v>
      </c>
      <c r="B467" t="s">
        <v>397</v>
      </c>
      <c r="C467" t="s">
        <v>388</v>
      </c>
      <c r="D467" t="s">
        <v>341</v>
      </c>
      <c r="E467" t="str">
        <f>VLOOKUP(DataTable[[#This Row],[Country]],Market!B:C,2,FALSE)</f>
        <v>North America</v>
      </c>
      <c r="F467" s="24">
        <v>250</v>
      </c>
      <c r="G467" s="24">
        <v>13890</v>
      </c>
      <c r="H467" s="24">
        <v>20</v>
      </c>
      <c r="I467" s="27">
        <v>1389</v>
      </c>
      <c r="J467" s="24">
        <v>27780</v>
      </c>
      <c r="K467" s="24">
        <v>1389</v>
      </c>
      <c r="L467" s="1" t="s">
        <v>124</v>
      </c>
      <c r="M467" s="24">
        <v>26391</v>
      </c>
      <c r="N467" s="24">
        <f t="shared" si="7"/>
        <v>12501</v>
      </c>
      <c r="O467" t="str">
        <f>IF(DataTable[[#This Row],[Profit]]/DataTable[[#This Row],[COGS]]*100&gt;20,"Achived","Not Achived")</f>
        <v>Achived</v>
      </c>
      <c r="P467" s="25">
        <f>DataTable[[#This Row],[Profit]]/DataTable[[#This Row],[COGS]]</f>
        <v>0.9</v>
      </c>
      <c r="Q467">
        <f>DataTable[[#This Row],[Manufacturing Price]]*DataTable[[#This Row],[Units Sold]]</f>
        <v>347250</v>
      </c>
      <c r="R467" s="26">
        <f>DataTable[[#This Row],[COGS]]-DataTable[[#This Row],[MC_US]]</f>
        <v>-333360</v>
      </c>
      <c r="S467" s="26">
        <f>IF(DataTable[[#This Row],[COGS-MC_US]]&gt;=0,DataTable[[#This Row],[Manufacturing Price]],DataTable[[#This Row],[COGS]]/DataTable[[#This Row],[Units Sold]])</f>
        <v>10</v>
      </c>
    </row>
    <row r="468" spans="1:19" ht="12.75" hidden="1" x14ac:dyDescent="0.2">
      <c r="A468" s="20">
        <v>41852</v>
      </c>
      <c r="B468" t="s">
        <v>398</v>
      </c>
      <c r="C468" t="s">
        <v>388</v>
      </c>
      <c r="D468" t="s">
        <v>341</v>
      </c>
      <c r="E468" t="str">
        <f>VLOOKUP(DataTable[[#This Row],[Country]],Market!B:C,2,FALSE)</f>
        <v>North America</v>
      </c>
      <c r="F468" s="24">
        <v>260</v>
      </c>
      <c r="G468" s="24">
        <v>143520</v>
      </c>
      <c r="H468" s="24">
        <v>350</v>
      </c>
      <c r="I468" s="27">
        <v>552</v>
      </c>
      <c r="J468" s="24">
        <v>193200</v>
      </c>
      <c r="K468" s="24">
        <v>9660</v>
      </c>
      <c r="L468" s="1" t="s">
        <v>124</v>
      </c>
      <c r="M468" s="24">
        <v>183540</v>
      </c>
      <c r="N468" s="24">
        <f t="shared" si="7"/>
        <v>40020</v>
      </c>
      <c r="O468" t="str">
        <f>IF(DataTable[[#This Row],[Profit]]/DataTable[[#This Row],[COGS]]*100&gt;20,"Achived","Not Achived")</f>
        <v>Achived</v>
      </c>
      <c r="P468" s="25">
        <f>DataTable[[#This Row],[Profit]]/DataTable[[#This Row],[COGS]]</f>
        <v>0.27884615384615385</v>
      </c>
      <c r="Q468">
        <f>DataTable[[#This Row],[Manufacturing Price]]*DataTable[[#This Row],[Units Sold]]</f>
        <v>143520</v>
      </c>
      <c r="R468" s="26">
        <f>DataTable[[#This Row],[COGS]]-DataTable[[#This Row],[MC_US]]</f>
        <v>0</v>
      </c>
      <c r="S468" s="26">
        <f>IF(DataTable[[#This Row],[COGS-MC_US]]&gt;=0,DataTable[[#This Row],[Manufacturing Price]],DataTable[[#This Row],[COGS]]/DataTable[[#This Row],[Units Sold]])</f>
        <v>260</v>
      </c>
    </row>
    <row r="469" spans="1:19" ht="12.75" hidden="1" x14ac:dyDescent="0.2">
      <c r="A469" s="20">
        <v>41548</v>
      </c>
      <c r="B469" t="s">
        <v>398</v>
      </c>
      <c r="C469" t="s">
        <v>388</v>
      </c>
      <c r="D469" t="s">
        <v>341</v>
      </c>
      <c r="E469" t="str">
        <f>VLOOKUP(DataTable[[#This Row],[Country]],Market!B:C,2,FALSE)</f>
        <v>North America</v>
      </c>
      <c r="F469" s="24">
        <v>260</v>
      </c>
      <c r="G469" s="24">
        <v>319280</v>
      </c>
      <c r="H469" s="24">
        <v>350</v>
      </c>
      <c r="I469" s="27">
        <v>1228</v>
      </c>
      <c r="J469" s="24">
        <v>429800</v>
      </c>
      <c r="K469" s="24">
        <v>21490</v>
      </c>
      <c r="L469" s="1" t="s">
        <v>124</v>
      </c>
      <c r="M469" s="24">
        <v>408310</v>
      </c>
      <c r="N469" s="24">
        <f t="shared" si="7"/>
        <v>89030</v>
      </c>
      <c r="O469" t="str">
        <f>IF(DataTable[[#This Row],[Profit]]/DataTable[[#This Row],[COGS]]*100&gt;20,"Achived","Not Achived")</f>
        <v>Achived</v>
      </c>
      <c r="P469" s="25">
        <f>DataTable[[#This Row],[Profit]]/DataTable[[#This Row],[COGS]]</f>
        <v>0.27884615384615385</v>
      </c>
      <c r="Q469">
        <f>DataTable[[#This Row],[Manufacturing Price]]*DataTable[[#This Row],[Units Sold]]</f>
        <v>319280</v>
      </c>
      <c r="R469" s="26">
        <f>DataTable[[#This Row],[COGS]]-DataTable[[#This Row],[MC_US]]</f>
        <v>0</v>
      </c>
      <c r="S469" s="26">
        <f>IF(DataTable[[#This Row],[COGS-MC_US]]&gt;=0,DataTable[[#This Row],[Manufacturing Price]],DataTable[[#This Row],[COGS]]/DataTable[[#This Row],[Units Sold]])</f>
        <v>260</v>
      </c>
    </row>
    <row r="470" spans="1:19" ht="12.75" hidden="1" x14ac:dyDescent="0.2">
      <c r="A470" s="20">
        <v>41791</v>
      </c>
      <c r="B470" t="s">
        <v>396</v>
      </c>
      <c r="C470" t="s">
        <v>388</v>
      </c>
      <c r="D470" t="s">
        <v>341</v>
      </c>
      <c r="E470" t="str">
        <f>VLOOKUP(DataTable[[#This Row],[Country]],Market!B:C,2,FALSE)</f>
        <v>North America</v>
      </c>
      <c r="F470" s="24">
        <v>120</v>
      </c>
      <c r="G470" s="24">
        <v>5675</v>
      </c>
      <c r="H470" s="24">
        <v>7</v>
      </c>
      <c r="I470" s="27">
        <v>1135</v>
      </c>
      <c r="J470" s="24">
        <v>7945</v>
      </c>
      <c r="K470" s="24">
        <v>556.15</v>
      </c>
      <c r="L470" s="1" t="s">
        <v>124</v>
      </c>
      <c r="M470" s="24">
        <v>7388.85</v>
      </c>
      <c r="N470" s="24">
        <f t="shared" si="7"/>
        <v>1713.8500000000004</v>
      </c>
      <c r="O470" t="str">
        <f>IF(DataTable[[#This Row],[Profit]]/DataTable[[#This Row],[COGS]]*100&gt;20,"Achived","Not Achived")</f>
        <v>Achived</v>
      </c>
      <c r="P470" s="25">
        <f>DataTable[[#This Row],[Profit]]/DataTable[[#This Row],[COGS]]</f>
        <v>0.30200000000000005</v>
      </c>
      <c r="Q470">
        <f>DataTable[[#This Row],[Manufacturing Price]]*DataTable[[#This Row],[Units Sold]]</f>
        <v>136200</v>
      </c>
      <c r="R470" s="26">
        <f>DataTable[[#This Row],[COGS]]-DataTable[[#This Row],[MC_US]]</f>
        <v>-130525</v>
      </c>
      <c r="S470" s="26">
        <f>IF(DataTable[[#This Row],[COGS-MC_US]]&gt;=0,DataTable[[#This Row],[Manufacturing Price]],DataTable[[#This Row],[COGS]]/DataTable[[#This Row],[Units Sold]])</f>
        <v>5</v>
      </c>
    </row>
    <row r="471" spans="1:19" ht="12.75" hidden="1" x14ac:dyDescent="0.2">
      <c r="A471" s="20">
        <v>41974</v>
      </c>
      <c r="B471" t="s">
        <v>396</v>
      </c>
      <c r="C471" t="s">
        <v>388</v>
      </c>
      <c r="D471" t="s">
        <v>341</v>
      </c>
      <c r="E471" t="str">
        <f>VLOOKUP(DataTable[[#This Row],[Country]],Market!B:C,2,FALSE)</f>
        <v>North America</v>
      </c>
      <c r="F471" s="24">
        <v>120</v>
      </c>
      <c r="G471" s="24">
        <v>7910</v>
      </c>
      <c r="H471" s="24">
        <v>7</v>
      </c>
      <c r="I471" s="27">
        <v>1582</v>
      </c>
      <c r="J471" s="24">
        <v>11074</v>
      </c>
      <c r="K471" s="24">
        <v>775.18</v>
      </c>
      <c r="L471" s="1" t="s">
        <v>124</v>
      </c>
      <c r="M471" s="24">
        <v>10298.82</v>
      </c>
      <c r="N471" s="24">
        <f t="shared" si="7"/>
        <v>2388.8199999999997</v>
      </c>
      <c r="O471" t="str">
        <f>IF(DataTable[[#This Row],[Profit]]/DataTable[[#This Row],[COGS]]*100&gt;20,"Achived","Not Achived")</f>
        <v>Achived</v>
      </c>
      <c r="P471" s="25">
        <f>DataTable[[#This Row],[Profit]]/DataTable[[#This Row],[COGS]]</f>
        <v>0.30199999999999999</v>
      </c>
      <c r="Q471">
        <f>DataTable[[#This Row],[Manufacturing Price]]*DataTable[[#This Row],[Units Sold]]</f>
        <v>189840</v>
      </c>
      <c r="R471" s="26">
        <f>DataTable[[#This Row],[COGS]]-DataTable[[#This Row],[MC_US]]</f>
        <v>-181930</v>
      </c>
      <c r="S471" s="26">
        <f>IF(DataTable[[#This Row],[COGS-MC_US]]&gt;=0,DataTable[[#This Row],[Manufacturing Price]],DataTable[[#This Row],[COGS]]/DataTable[[#This Row],[Units Sold]])</f>
        <v>5</v>
      </c>
    </row>
    <row r="472" spans="1:19" ht="12.75" hidden="1" x14ac:dyDescent="0.2">
      <c r="A472" s="20">
        <v>41974</v>
      </c>
      <c r="B472" t="s">
        <v>397</v>
      </c>
      <c r="C472" t="s">
        <v>388</v>
      </c>
      <c r="D472" t="s">
        <v>341</v>
      </c>
      <c r="E472" t="str">
        <f>VLOOKUP(DataTable[[#This Row],[Country]],Market!B:C,2,FALSE)</f>
        <v>North America</v>
      </c>
      <c r="F472" s="24">
        <v>250</v>
      </c>
      <c r="G472" s="24">
        <v>7910</v>
      </c>
      <c r="H472" s="24">
        <v>7</v>
      </c>
      <c r="I472" s="27">
        <v>1582</v>
      </c>
      <c r="J472" s="24">
        <v>11074</v>
      </c>
      <c r="K472" s="24">
        <v>775.18</v>
      </c>
      <c r="L472" s="1" t="s">
        <v>124</v>
      </c>
      <c r="M472" s="24">
        <v>10298.82</v>
      </c>
      <c r="N472" s="24">
        <f t="shared" si="7"/>
        <v>2388.8199999999997</v>
      </c>
      <c r="O472" t="str">
        <f>IF(DataTable[[#This Row],[Profit]]/DataTable[[#This Row],[COGS]]*100&gt;20,"Achived","Not Achived")</f>
        <v>Achived</v>
      </c>
      <c r="P472" s="25">
        <f>DataTable[[#This Row],[Profit]]/DataTable[[#This Row],[COGS]]</f>
        <v>0.30199999999999999</v>
      </c>
      <c r="Q472">
        <f>DataTable[[#This Row],[Manufacturing Price]]*DataTable[[#This Row],[Units Sold]]</f>
        <v>395500</v>
      </c>
      <c r="R472" s="26">
        <f>DataTable[[#This Row],[COGS]]-DataTable[[#This Row],[MC_US]]</f>
        <v>-387590</v>
      </c>
      <c r="S472" s="26">
        <f>IF(DataTable[[#This Row],[COGS-MC_US]]&gt;=0,DataTable[[#This Row],[Manufacturing Price]],DataTable[[#This Row],[COGS]]/DataTable[[#This Row],[Units Sold]])</f>
        <v>5</v>
      </c>
    </row>
    <row r="473" spans="1:19" ht="12.75" hidden="1" x14ac:dyDescent="0.2">
      <c r="A473" s="20">
        <v>41791</v>
      </c>
      <c r="B473" t="s">
        <v>398</v>
      </c>
      <c r="C473" t="s">
        <v>388</v>
      </c>
      <c r="D473" t="s">
        <v>341</v>
      </c>
      <c r="E473" t="str">
        <f>VLOOKUP(DataTable[[#This Row],[Country]],Market!B:C,2,FALSE)</f>
        <v>North America</v>
      </c>
      <c r="F473" s="24">
        <v>260</v>
      </c>
      <c r="G473" s="24">
        <v>5675</v>
      </c>
      <c r="H473" s="24">
        <v>7</v>
      </c>
      <c r="I473" s="27">
        <v>1135</v>
      </c>
      <c r="J473" s="24">
        <v>7945</v>
      </c>
      <c r="K473" s="24">
        <v>556.15</v>
      </c>
      <c r="L473" s="1" t="s">
        <v>124</v>
      </c>
      <c r="M473" s="24">
        <v>7388.85</v>
      </c>
      <c r="N473" s="24">
        <f t="shared" si="7"/>
        <v>1713.8500000000004</v>
      </c>
      <c r="O473" t="str">
        <f>IF(DataTable[[#This Row],[Profit]]/DataTable[[#This Row],[COGS]]*100&gt;20,"Achived","Not Achived")</f>
        <v>Achived</v>
      </c>
      <c r="P473" s="25">
        <f>DataTable[[#This Row],[Profit]]/DataTable[[#This Row],[COGS]]</f>
        <v>0.30200000000000005</v>
      </c>
      <c r="Q473">
        <f>DataTable[[#This Row],[Manufacturing Price]]*DataTable[[#This Row],[Units Sold]]</f>
        <v>295100</v>
      </c>
      <c r="R473" s="26">
        <f>DataTable[[#This Row],[COGS]]-DataTable[[#This Row],[MC_US]]</f>
        <v>-289425</v>
      </c>
      <c r="S473" s="26">
        <f>IF(DataTable[[#This Row],[COGS-MC_US]]&gt;=0,DataTable[[#This Row],[Manufacturing Price]],DataTable[[#This Row],[COGS]]/DataTable[[#This Row],[Units Sold]])</f>
        <v>5</v>
      </c>
    </row>
    <row r="474" spans="1:19" ht="12.75" hidden="1" x14ac:dyDescent="0.2">
      <c r="A474" s="20">
        <v>41944</v>
      </c>
      <c r="B474" t="s">
        <v>398</v>
      </c>
      <c r="C474" t="s">
        <v>388</v>
      </c>
      <c r="D474" t="s">
        <v>341</v>
      </c>
      <c r="E474" t="str">
        <f>VLOOKUP(DataTable[[#This Row],[Country]],Market!B:C,2,FALSE)</f>
        <v>North America</v>
      </c>
      <c r="F474" s="24">
        <v>260</v>
      </c>
      <c r="G474" s="24">
        <v>11180</v>
      </c>
      <c r="H474" s="24">
        <v>20</v>
      </c>
      <c r="I474" s="27">
        <v>1118</v>
      </c>
      <c r="J474" s="24">
        <v>22360</v>
      </c>
      <c r="K474" s="24">
        <v>1565.2</v>
      </c>
      <c r="L474" s="1" t="s">
        <v>124</v>
      </c>
      <c r="M474" s="24">
        <v>20794.8</v>
      </c>
      <c r="N474" s="24">
        <f t="shared" si="7"/>
        <v>9614.7999999999993</v>
      </c>
      <c r="O474" t="str">
        <f>IF(DataTable[[#This Row],[Profit]]/DataTable[[#This Row],[COGS]]*100&gt;20,"Achived","Not Achived")</f>
        <v>Achived</v>
      </c>
      <c r="P474" s="25">
        <f>DataTable[[#This Row],[Profit]]/DataTable[[#This Row],[COGS]]</f>
        <v>0.86</v>
      </c>
      <c r="Q474">
        <f>DataTable[[#This Row],[Manufacturing Price]]*DataTable[[#This Row],[Units Sold]]</f>
        <v>290680</v>
      </c>
      <c r="R474" s="26">
        <f>DataTable[[#This Row],[COGS]]-DataTable[[#This Row],[MC_US]]</f>
        <v>-279500</v>
      </c>
      <c r="S474" s="26">
        <f>IF(DataTable[[#This Row],[COGS-MC_US]]&gt;=0,DataTable[[#This Row],[Manufacturing Price]],DataTable[[#This Row],[COGS]]/DataTable[[#This Row],[Units Sold]])</f>
        <v>10</v>
      </c>
    </row>
    <row r="475" spans="1:19" ht="12.75" hidden="1" x14ac:dyDescent="0.2">
      <c r="A475" s="20">
        <v>41671</v>
      </c>
      <c r="B475" t="s">
        <v>391</v>
      </c>
      <c r="C475" t="s">
        <v>388</v>
      </c>
      <c r="D475" t="s">
        <v>341</v>
      </c>
      <c r="E475" t="str">
        <f>VLOOKUP(DataTable[[#This Row],[Country]],Market!B:C,2,FALSE)</f>
        <v>North America</v>
      </c>
      <c r="F475" s="24">
        <v>5</v>
      </c>
      <c r="G475" s="24">
        <v>2440</v>
      </c>
      <c r="H475" s="24">
        <v>7</v>
      </c>
      <c r="I475" s="27">
        <v>488</v>
      </c>
      <c r="J475" s="24">
        <v>3416</v>
      </c>
      <c r="K475" s="24">
        <v>273.27999999999997</v>
      </c>
      <c r="L475" s="1" t="s">
        <v>124</v>
      </c>
      <c r="M475" s="24">
        <v>3142.72</v>
      </c>
      <c r="N475" s="24">
        <f t="shared" si="7"/>
        <v>702.7199999999998</v>
      </c>
      <c r="O475" t="str">
        <f>IF(DataTable[[#This Row],[Profit]]/DataTable[[#This Row],[COGS]]*100&gt;20,"Achived","Not Achived")</f>
        <v>Achived</v>
      </c>
      <c r="P475" s="25">
        <f>DataTable[[#This Row],[Profit]]/DataTable[[#This Row],[COGS]]</f>
        <v>0.28799999999999992</v>
      </c>
      <c r="Q475">
        <f>DataTable[[#This Row],[Manufacturing Price]]*DataTable[[#This Row],[Units Sold]]</f>
        <v>2440</v>
      </c>
      <c r="R475" s="26">
        <f>DataTable[[#This Row],[COGS]]-DataTable[[#This Row],[MC_US]]</f>
        <v>0</v>
      </c>
      <c r="S475" s="26">
        <f>IF(DataTable[[#This Row],[COGS-MC_US]]&gt;=0,DataTable[[#This Row],[Manufacturing Price]],DataTable[[#This Row],[COGS]]/DataTable[[#This Row],[Units Sold]])</f>
        <v>5</v>
      </c>
    </row>
    <row r="476" spans="1:19" ht="12.75" hidden="1" x14ac:dyDescent="0.2">
      <c r="A476" s="20">
        <v>41760</v>
      </c>
      <c r="B476" t="s">
        <v>395</v>
      </c>
      <c r="C476" t="s">
        <v>388</v>
      </c>
      <c r="D476" t="s">
        <v>341</v>
      </c>
      <c r="E476" t="str">
        <f>VLOOKUP(DataTable[[#This Row],[Country]],Market!B:C,2,FALSE)</f>
        <v>North America</v>
      </c>
      <c r="F476" s="24">
        <v>10</v>
      </c>
      <c r="G476" s="24">
        <v>1285</v>
      </c>
      <c r="H476" s="24">
        <v>7</v>
      </c>
      <c r="I476" s="27">
        <v>257</v>
      </c>
      <c r="J476" s="24">
        <v>1799</v>
      </c>
      <c r="K476" s="24">
        <v>143.91999999999999</v>
      </c>
      <c r="L476" s="1" t="s">
        <v>124</v>
      </c>
      <c r="M476" s="24">
        <v>1655.08</v>
      </c>
      <c r="N476" s="24">
        <f t="shared" si="7"/>
        <v>370.07999999999993</v>
      </c>
      <c r="O476" t="str">
        <f>IF(DataTable[[#This Row],[Profit]]/DataTable[[#This Row],[COGS]]*100&gt;20,"Achived","Not Achived")</f>
        <v>Achived</v>
      </c>
      <c r="P476" s="25">
        <f>DataTable[[#This Row],[Profit]]/DataTable[[#This Row],[COGS]]</f>
        <v>0.28799999999999992</v>
      </c>
      <c r="Q476">
        <f>DataTable[[#This Row],[Manufacturing Price]]*DataTable[[#This Row],[Units Sold]]</f>
        <v>2570</v>
      </c>
      <c r="R476" s="26">
        <f>DataTable[[#This Row],[COGS]]-DataTable[[#This Row],[MC_US]]</f>
        <v>-1285</v>
      </c>
      <c r="S476" s="26">
        <f>IF(DataTable[[#This Row],[COGS-MC_US]]&gt;=0,DataTable[[#This Row],[Manufacturing Price]],DataTable[[#This Row],[COGS]]/DataTable[[#This Row],[Units Sold]])</f>
        <v>5</v>
      </c>
    </row>
    <row r="477" spans="1:19" ht="12.75" hidden="1" x14ac:dyDescent="0.2">
      <c r="A477" s="20">
        <v>41791</v>
      </c>
      <c r="B477" t="s">
        <v>391</v>
      </c>
      <c r="C477" t="s">
        <v>388</v>
      </c>
      <c r="D477" t="s">
        <v>341</v>
      </c>
      <c r="E477" t="str">
        <f>VLOOKUP(DataTable[[#This Row],[Country]],Market!B:C,2,FALSE)</f>
        <v>North America</v>
      </c>
      <c r="F477" s="24">
        <v>5</v>
      </c>
      <c r="G477" s="24">
        <v>7080</v>
      </c>
      <c r="H477" s="24">
        <v>20</v>
      </c>
      <c r="I477" s="27">
        <v>708</v>
      </c>
      <c r="J477" s="24">
        <v>14160</v>
      </c>
      <c r="K477" s="24">
        <v>1132.8</v>
      </c>
      <c r="L477" s="1" t="s">
        <v>124</v>
      </c>
      <c r="M477" s="24">
        <v>13027.2</v>
      </c>
      <c r="N477" s="24">
        <f t="shared" si="7"/>
        <v>5947.2000000000007</v>
      </c>
      <c r="O477" t="str">
        <f>IF(DataTable[[#This Row],[Profit]]/DataTable[[#This Row],[COGS]]*100&gt;20,"Achived","Not Achived")</f>
        <v>Achived</v>
      </c>
      <c r="P477" s="25">
        <f>DataTable[[#This Row],[Profit]]/DataTable[[#This Row],[COGS]]</f>
        <v>0.84000000000000008</v>
      </c>
      <c r="Q477">
        <f>DataTable[[#This Row],[Manufacturing Price]]*DataTable[[#This Row],[Units Sold]]</f>
        <v>3540</v>
      </c>
      <c r="R477" s="26">
        <f>DataTable[[#This Row],[COGS]]-DataTable[[#This Row],[MC_US]]</f>
        <v>3540</v>
      </c>
      <c r="S477" s="26">
        <f>IF(DataTable[[#This Row],[COGS-MC_US]]&gt;=0,DataTable[[#This Row],[Manufacturing Price]],DataTable[[#This Row],[COGS]]/DataTable[[#This Row],[Units Sold]])</f>
        <v>5</v>
      </c>
    </row>
    <row r="478" spans="1:19" ht="12.75" hidden="1" x14ac:dyDescent="0.2">
      <c r="A478" s="20">
        <v>41791</v>
      </c>
      <c r="B478" t="s">
        <v>398</v>
      </c>
      <c r="C478" t="s">
        <v>388</v>
      </c>
      <c r="D478" t="s">
        <v>341</v>
      </c>
      <c r="E478" t="str">
        <f>VLOOKUP(DataTable[[#This Row],[Country]],Market!B:C,2,FALSE)</f>
        <v>North America</v>
      </c>
      <c r="F478" s="24">
        <v>260</v>
      </c>
      <c r="G478" s="24">
        <v>7080</v>
      </c>
      <c r="H478" s="24">
        <v>20</v>
      </c>
      <c r="I478" s="27">
        <v>708</v>
      </c>
      <c r="J478" s="24">
        <v>14160</v>
      </c>
      <c r="K478" s="24">
        <v>1132.8</v>
      </c>
      <c r="L478" s="1" t="s">
        <v>124</v>
      </c>
      <c r="M478" s="24">
        <v>13027.2</v>
      </c>
      <c r="N478" s="24">
        <f t="shared" si="7"/>
        <v>5947.2000000000007</v>
      </c>
      <c r="O478" t="str">
        <f>IF(DataTable[[#This Row],[Profit]]/DataTable[[#This Row],[COGS]]*100&gt;20,"Achived","Not Achived")</f>
        <v>Achived</v>
      </c>
      <c r="P478" s="25">
        <f>DataTable[[#This Row],[Profit]]/DataTable[[#This Row],[COGS]]</f>
        <v>0.84000000000000008</v>
      </c>
      <c r="Q478">
        <f>DataTable[[#This Row],[Manufacturing Price]]*DataTable[[#This Row],[Units Sold]]</f>
        <v>184080</v>
      </c>
      <c r="R478" s="26">
        <f>DataTable[[#This Row],[COGS]]-DataTable[[#This Row],[MC_US]]</f>
        <v>-177000</v>
      </c>
      <c r="S478" s="26">
        <f>IF(DataTable[[#This Row],[COGS-MC_US]]&gt;=0,DataTable[[#This Row],[Manufacturing Price]],DataTable[[#This Row],[COGS]]/DataTable[[#This Row],[Units Sold]])</f>
        <v>10</v>
      </c>
    </row>
    <row r="479" spans="1:19" ht="12.75" hidden="1" x14ac:dyDescent="0.2">
      <c r="A479" s="20">
        <v>41609</v>
      </c>
      <c r="B479" t="s">
        <v>391</v>
      </c>
      <c r="C479" t="s">
        <v>388</v>
      </c>
      <c r="D479" t="s">
        <v>341</v>
      </c>
      <c r="E479" t="str">
        <f>VLOOKUP(DataTable[[#This Row],[Country]],Market!B:C,2,FALSE)</f>
        <v>North America</v>
      </c>
      <c r="F479" s="24">
        <v>5</v>
      </c>
      <c r="G479" s="24">
        <v>8055</v>
      </c>
      <c r="H479" s="24">
        <v>7</v>
      </c>
      <c r="I479" s="27">
        <v>1611</v>
      </c>
      <c r="J479" s="24">
        <v>11277</v>
      </c>
      <c r="K479" s="24">
        <v>1014.93</v>
      </c>
      <c r="L479" s="1" t="s">
        <v>124</v>
      </c>
      <c r="M479" s="24">
        <v>10262.07</v>
      </c>
      <c r="N479" s="24">
        <f t="shared" si="7"/>
        <v>2207.0699999999997</v>
      </c>
      <c r="O479" t="str">
        <f>IF(DataTable[[#This Row],[Profit]]/DataTable[[#This Row],[COGS]]*100&gt;20,"Achived","Not Achived")</f>
        <v>Achived</v>
      </c>
      <c r="P479" s="25">
        <f>DataTable[[#This Row],[Profit]]/DataTable[[#This Row],[COGS]]</f>
        <v>0.27399999999999997</v>
      </c>
      <c r="Q479">
        <f>DataTable[[#This Row],[Manufacturing Price]]*DataTable[[#This Row],[Units Sold]]</f>
        <v>8055</v>
      </c>
      <c r="R479" s="26">
        <f>DataTable[[#This Row],[COGS]]-DataTable[[#This Row],[MC_US]]</f>
        <v>0</v>
      </c>
      <c r="S479" s="26">
        <f>IF(DataTable[[#This Row],[COGS-MC_US]]&gt;=0,DataTable[[#This Row],[Manufacturing Price]],DataTable[[#This Row],[COGS]]/DataTable[[#This Row],[Units Sold]])</f>
        <v>5</v>
      </c>
    </row>
    <row r="480" spans="1:19" ht="12.75" hidden="1" x14ac:dyDescent="0.2">
      <c r="A480" s="20">
        <v>41913</v>
      </c>
      <c r="B480" t="s">
        <v>396</v>
      </c>
      <c r="C480" t="s">
        <v>388</v>
      </c>
      <c r="D480" t="s">
        <v>341</v>
      </c>
      <c r="E480" t="str">
        <f>VLOOKUP(DataTable[[#This Row],[Country]],Market!B:C,2,FALSE)</f>
        <v>North America</v>
      </c>
      <c r="F480" s="24">
        <v>120</v>
      </c>
      <c r="G480" s="24">
        <v>329940</v>
      </c>
      <c r="H480" s="24">
        <v>350</v>
      </c>
      <c r="I480" s="27">
        <v>1269</v>
      </c>
      <c r="J480" s="24">
        <v>444150</v>
      </c>
      <c r="K480" s="24">
        <v>39973.5</v>
      </c>
      <c r="L480" s="1" t="s">
        <v>124</v>
      </c>
      <c r="M480" s="24">
        <v>404176.5</v>
      </c>
      <c r="N480" s="24">
        <f t="shared" si="7"/>
        <v>74236.5</v>
      </c>
      <c r="O480" t="str">
        <f>IF(DataTable[[#This Row],[Profit]]/DataTable[[#This Row],[COGS]]*100&gt;20,"Achived","Not Achived")</f>
        <v>Achived</v>
      </c>
      <c r="P480" s="25">
        <f>DataTable[[#This Row],[Profit]]/DataTable[[#This Row],[COGS]]</f>
        <v>0.22500000000000001</v>
      </c>
      <c r="Q480">
        <f>DataTable[[#This Row],[Manufacturing Price]]*DataTable[[#This Row],[Units Sold]]</f>
        <v>152280</v>
      </c>
      <c r="R480" s="26">
        <f>DataTable[[#This Row],[COGS]]-DataTable[[#This Row],[MC_US]]</f>
        <v>177660</v>
      </c>
      <c r="S480" s="26">
        <f>IF(DataTable[[#This Row],[COGS-MC_US]]&gt;=0,DataTable[[#This Row],[Manufacturing Price]],DataTable[[#This Row],[COGS]]/DataTable[[#This Row],[Units Sold]])</f>
        <v>120</v>
      </c>
    </row>
    <row r="481" spans="1:19" ht="12.75" hidden="1" x14ac:dyDescent="0.2">
      <c r="A481" s="20">
        <v>41913</v>
      </c>
      <c r="B481" t="s">
        <v>398</v>
      </c>
      <c r="C481" t="s">
        <v>388</v>
      </c>
      <c r="D481" t="s">
        <v>341</v>
      </c>
      <c r="E481" t="str">
        <f>VLOOKUP(DataTable[[#This Row],[Country]],Market!B:C,2,FALSE)</f>
        <v>North America</v>
      </c>
      <c r="F481" s="24">
        <v>260</v>
      </c>
      <c r="G481" s="24">
        <v>329940</v>
      </c>
      <c r="H481" s="24">
        <v>350</v>
      </c>
      <c r="I481" s="27">
        <v>1269</v>
      </c>
      <c r="J481" s="24">
        <v>444150</v>
      </c>
      <c r="K481" s="24">
        <v>39973.5</v>
      </c>
      <c r="L481" s="1" t="s">
        <v>124</v>
      </c>
      <c r="M481" s="24">
        <v>404176.5</v>
      </c>
      <c r="N481" s="24">
        <f t="shared" si="7"/>
        <v>74236.5</v>
      </c>
      <c r="O481" t="str">
        <f>IF(DataTable[[#This Row],[Profit]]/DataTable[[#This Row],[COGS]]*100&gt;20,"Achived","Not Achived")</f>
        <v>Achived</v>
      </c>
      <c r="P481" s="25">
        <f>DataTable[[#This Row],[Profit]]/DataTable[[#This Row],[COGS]]</f>
        <v>0.22500000000000001</v>
      </c>
      <c r="Q481">
        <f>DataTable[[#This Row],[Manufacturing Price]]*DataTable[[#This Row],[Units Sold]]</f>
        <v>329940</v>
      </c>
      <c r="R481" s="26">
        <f>DataTable[[#This Row],[COGS]]-DataTable[[#This Row],[MC_US]]</f>
        <v>0</v>
      </c>
      <c r="S481" s="26">
        <f>IF(DataTable[[#This Row],[COGS-MC_US]]&gt;=0,DataTable[[#This Row],[Manufacturing Price]],DataTable[[#This Row],[COGS]]/DataTable[[#This Row],[Units Sold]])</f>
        <v>260</v>
      </c>
    </row>
    <row r="482" spans="1:19" ht="12.75" hidden="1" x14ac:dyDescent="0.2">
      <c r="A482" s="20">
        <v>41821</v>
      </c>
      <c r="B482" t="s">
        <v>389</v>
      </c>
      <c r="C482" t="s">
        <v>388</v>
      </c>
      <c r="D482" t="s">
        <v>341</v>
      </c>
      <c r="E482" t="str">
        <f>VLOOKUP(DataTable[[#This Row],[Country]],Market!B:C,2,FALSE)</f>
        <v>North America</v>
      </c>
      <c r="F482" s="24">
        <v>3</v>
      </c>
      <c r="G482" s="24">
        <v>4095</v>
      </c>
      <c r="H482" s="24">
        <v>7</v>
      </c>
      <c r="I482" s="27">
        <v>819</v>
      </c>
      <c r="J482" s="24">
        <v>5733</v>
      </c>
      <c r="K482" s="24">
        <v>515.97</v>
      </c>
      <c r="L482" s="1" t="s">
        <v>124</v>
      </c>
      <c r="M482" s="24">
        <v>5217.03</v>
      </c>
      <c r="N482" s="24">
        <f t="shared" si="7"/>
        <v>1122.0299999999997</v>
      </c>
      <c r="O482" t="str">
        <f>IF(DataTable[[#This Row],[Profit]]/DataTable[[#This Row],[COGS]]*100&gt;20,"Achived","Not Achived")</f>
        <v>Achived</v>
      </c>
      <c r="P482" s="25">
        <f>DataTable[[#This Row],[Profit]]/DataTable[[#This Row],[COGS]]</f>
        <v>0.27399999999999991</v>
      </c>
      <c r="Q482">
        <f>DataTable[[#This Row],[Manufacturing Price]]*DataTable[[#This Row],[Units Sold]]</f>
        <v>2457</v>
      </c>
      <c r="R482" s="26">
        <f>DataTable[[#This Row],[COGS]]-DataTable[[#This Row],[MC_US]]</f>
        <v>1638</v>
      </c>
      <c r="S482" s="26">
        <f>IF(DataTable[[#This Row],[COGS-MC_US]]&gt;=0,DataTable[[#This Row],[Manufacturing Price]],DataTable[[#This Row],[COGS]]/DataTable[[#This Row],[Units Sold]])</f>
        <v>3</v>
      </c>
    </row>
    <row r="483" spans="1:19" ht="12.75" x14ac:dyDescent="0.2">
      <c r="A483" s="20">
        <v>41671</v>
      </c>
      <c r="B483" t="s">
        <v>398</v>
      </c>
      <c r="C483" t="s">
        <v>388</v>
      </c>
      <c r="D483" t="s">
        <v>341</v>
      </c>
      <c r="E483" t="str">
        <f>VLOOKUP(DataTable[[#This Row],[Country]],Market!B:C,2,FALSE)</f>
        <v>North America</v>
      </c>
      <c r="F483" s="24">
        <v>260</v>
      </c>
      <c r="G483" s="24">
        <v>582400</v>
      </c>
      <c r="H483" s="24">
        <v>350</v>
      </c>
      <c r="I483" s="27">
        <v>2240</v>
      </c>
      <c r="J483" s="24">
        <v>784000</v>
      </c>
      <c r="K483" s="24">
        <v>78400</v>
      </c>
      <c r="L483" s="1" t="s">
        <v>158</v>
      </c>
      <c r="M483" s="24">
        <v>705600</v>
      </c>
      <c r="N483" s="24">
        <f t="shared" si="7"/>
        <v>123200</v>
      </c>
      <c r="O483" t="str">
        <f>IF(DataTable[[#This Row],[Profit]]/DataTable[[#This Row],[COGS]]*100&gt;20,"Achived","Not Achived")</f>
        <v>Achived</v>
      </c>
      <c r="P483" s="25">
        <f>DataTable[[#This Row],[Profit]]/DataTable[[#This Row],[COGS]]</f>
        <v>0.21153846153846154</v>
      </c>
      <c r="Q483">
        <f>DataTable[[#This Row],[Manufacturing Price]]*DataTable[[#This Row],[Units Sold]]</f>
        <v>582400</v>
      </c>
      <c r="R483" s="26">
        <f>DataTable[[#This Row],[COGS]]-DataTable[[#This Row],[MC_US]]</f>
        <v>0</v>
      </c>
      <c r="S483" s="26">
        <f>IF(DataTable[[#This Row],[COGS-MC_US]]&gt;=0,DataTable[[#This Row],[Manufacturing Price]],DataTable[[#This Row],[COGS]]/DataTable[[#This Row],[Units Sold]])</f>
        <v>260</v>
      </c>
    </row>
    <row r="484" spans="1:19" ht="12.75" x14ac:dyDescent="0.2">
      <c r="A484" s="20">
        <v>41883</v>
      </c>
      <c r="B484" t="s">
        <v>398</v>
      </c>
      <c r="C484" t="s">
        <v>388</v>
      </c>
      <c r="D484" t="s">
        <v>341</v>
      </c>
      <c r="E484" t="str">
        <f>VLOOKUP(DataTable[[#This Row],[Country]],Market!B:C,2,FALSE)</f>
        <v>North America</v>
      </c>
      <c r="F484" s="24">
        <v>260</v>
      </c>
      <c r="G484" s="24">
        <v>183820</v>
      </c>
      <c r="H484" s="24">
        <v>350</v>
      </c>
      <c r="I484" s="27">
        <v>707</v>
      </c>
      <c r="J484" s="24">
        <v>247450</v>
      </c>
      <c r="K484" s="24">
        <v>24745</v>
      </c>
      <c r="L484" s="1" t="s">
        <v>158</v>
      </c>
      <c r="M484" s="24">
        <v>222705</v>
      </c>
      <c r="N484" s="24">
        <f t="shared" si="7"/>
        <v>38885</v>
      </c>
      <c r="O484" t="str">
        <f>IF(DataTable[[#This Row],[Profit]]/DataTable[[#This Row],[COGS]]*100&gt;20,"Achived","Not Achived")</f>
        <v>Achived</v>
      </c>
      <c r="P484" s="25">
        <f>DataTable[[#This Row],[Profit]]/DataTable[[#This Row],[COGS]]</f>
        <v>0.21153846153846154</v>
      </c>
      <c r="Q484">
        <f>DataTable[[#This Row],[Manufacturing Price]]*DataTable[[#This Row],[Units Sold]]</f>
        <v>183820</v>
      </c>
      <c r="R484" s="26">
        <f>DataTable[[#This Row],[COGS]]-DataTable[[#This Row],[MC_US]]</f>
        <v>0</v>
      </c>
      <c r="S484" s="26">
        <f>IF(DataTable[[#This Row],[COGS-MC_US]]&gt;=0,DataTable[[#This Row],[Manufacturing Price]],DataTable[[#This Row],[COGS]]/DataTable[[#This Row],[Units Sold]])</f>
        <v>260</v>
      </c>
    </row>
    <row r="485" spans="1:19" ht="12.75" x14ac:dyDescent="0.2">
      <c r="A485" s="20">
        <v>41821</v>
      </c>
      <c r="B485" t="s">
        <v>395</v>
      </c>
      <c r="C485" t="s">
        <v>388</v>
      </c>
      <c r="D485" t="s">
        <v>341</v>
      </c>
      <c r="E485" t="str">
        <f>VLOOKUP(DataTable[[#This Row],[Country]],Market!B:C,2,FALSE)</f>
        <v>North America</v>
      </c>
      <c r="F485" s="24">
        <v>10</v>
      </c>
      <c r="G485" s="24">
        <v>547170</v>
      </c>
      <c r="H485" s="24">
        <v>350</v>
      </c>
      <c r="I485" s="27">
        <v>2104.5</v>
      </c>
      <c r="J485" s="24">
        <v>736575</v>
      </c>
      <c r="K485" s="24">
        <v>81023.25</v>
      </c>
      <c r="L485" s="1" t="s">
        <v>158</v>
      </c>
      <c r="M485" s="24">
        <v>655551.75</v>
      </c>
      <c r="N485" s="24">
        <f t="shared" si="7"/>
        <v>108381.75</v>
      </c>
      <c r="O485" t="str">
        <f>IF(DataTable[[#This Row],[Profit]]/DataTable[[#This Row],[COGS]]*100&gt;20,"Achived","Not Achived")</f>
        <v>Not Achived</v>
      </c>
      <c r="P485" s="25">
        <f>DataTable[[#This Row],[Profit]]/DataTable[[#This Row],[COGS]]</f>
        <v>0.19807692307692307</v>
      </c>
      <c r="Q485">
        <f>DataTable[[#This Row],[Manufacturing Price]]*DataTable[[#This Row],[Units Sold]]</f>
        <v>21045</v>
      </c>
      <c r="R485" s="26">
        <f>DataTable[[#This Row],[COGS]]-DataTable[[#This Row],[MC_US]]</f>
        <v>526125</v>
      </c>
      <c r="S485" s="26">
        <f>IF(DataTable[[#This Row],[COGS-MC_US]]&gt;=0,DataTable[[#This Row],[Manufacturing Price]],DataTable[[#This Row],[COGS]]/DataTable[[#This Row],[Units Sold]])</f>
        <v>10</v>
      </c>
    </row>
    <row r="486" spans="1:19" ht="12.75" x14ac:dyDescent="0.2">
      <c r="A486" s="20">
        <v>41852</v>
      </c>
      <c r="B486" t="s">
        <v>395</v>
      </c>
      <c r="C486" t="s">
        <v>388</v>
      </c>
      <c r="D486" t="s">
        <v>341</v>
      </c>
      <c r="E486" t="str">
        <f>VLOOKUP(DataTable[[#This Row],[Country]],Market!B:C,2,FALSE)</f>
        <v>North America</v>
      </c>
      <c r="F486" s="24">
        <v>10</v>
      </c>
      <c r="G486" s="24">
        <v>23940</v>
      </c>
      <c r="H486" s="24">
        <v>20</v>
      </c>
      <c r="I486" s="27">
        <v>2394</v>
      </c>
      <c r="J486" s="24">
        <v>47880</v>
      </c>
      <c r="K486" s="24">
        <v>5266.8</v>
      </c>
      <c r="L486" s="1" t="s">
        <v>158</v>
      </c>
      <c r="M486" s="24">
        <v>42613.2</v>
      </c>
      <c r="N486" s="24">
        <f t="shared" si="7"/>
        <v>18673.199999999997</v>
      </c>
      <c r="O486" t="str">
        <f>IF(DataTable[[#This Row],[Profit]]/DataTable[[#This Row],[COGS]]*100&gt;20,"Achived","Not Achived")</f>
        <v>Achived</v>
      </c>
      <c r="P486" s="25">
        <f>DataTable[[#This Row],[Profit]]/DataTable[[#This Row],[COGS]]</f>
        <v>0.77999999999999992</v>
      </c>
      <c r="Q486">
        <f>DataTable[[#This Row],[Manufacturing Price]]*DataTable[[#This Row],[Units Sold]]</f>
        <v>23940</v>
      </c>
      <c r="R486" s="26">
        <f>DataTable[[#This Row],[COGS]]-DataTable[[#This Row],[MC_US]]</f>
        <v>0</v>
      </c>
      <c r="S486" s="26">
        <f>IF(DataTable[[#This Row],[COGS-MC_US]]&gt;=0,DataTable[[#This Row],[Manufacturing Price]],DataTable[[#This Row],[COGS]]/DataTable[[#This Row],[Units Sold]])</f>
        <v>10</v>
      </c>
    </row>
    <row r="487" spans="1:19" ht="12.75" x14ac:dyDescent="0.2">
      <c r="A487" s="20">
        <v>41944</v>
      </c>
      <c r="B487" t="s">
        <v>396</v>
      </c>
      <c r="C487" t="s">
        <v>388</v>
      </c>
      <c r="D487" t="s">
        <v>341</v>
      </c>
      <c r="E487" t="str">
        <f>VLOOKUP(DataTable[[#This Row],[Country]],Market!B:C,2,FALSE)</f>
        <v>North America</v>
      </c>
      <c r="F487" s="24">
        <v>120</v>
      </c>
      <c r="G487" s="24">
        <v>9040</v>
      </c>
      <c r="H487" s="24">
        <v>7</v>
      </c>
      <c r="I487" s="27">
        <v>1808</v>
      </c>
      <c r="J487" s="24">
        <v>12656</v>
      </c>
      <c r="K487" s="24">
        <v>1392.16</v>
      </c>
      <c r="L487" s="1" t="s">
        <v>158</v>
      </c>
      <c r="M487" s="24">
        <v>11263.84</v>
      </c>
      <c r="N487" s="24">
        <f t="shared" si="7"/>
        <v>2223.84</v>
      </c>
      <c r="O487" t="str">
        <f>IF(DataTable[[#This Row],[Profit]]/DataTable[[#This Row],[COGS]]*100&gt;20,"Achived","Not Achived")</f>
        <v>Achived</v>
      </c>
      <c r="P487" s="25">
        <f>DataTable[[#This Row],[Profit]]/DataTable[[#This Row],[COGS]]</f>
        <v>0.24600000000000002</v>
      </c>
      <c r="Q487">
        <f>DataTable[[#This Row],[Manufacturing Price]]*DataTable[[#This Row],[Units Sold]]</f>
        <v>216960</v>
      </c>
      <c r="R487" s="26">
        <f>DataTable[[#This Row],[COGS]]-DataTable[[#This Row],[MC_US]]</f>
        <v>-207920</v>
      </c>
      <c r="S487" s="26">
        <f>IF(DataTable[[#This Row],[COGS-MC_US]]&gt;=0,DataTable[[#This Row],[Manufacturing Price]],DataTable[[#This Row],[COGS]]/DataTable[[#This Row],[Units Sold]])</f>
        <v>5</v>
      </c>
    </row>
    <row r="488" spans="1:19" ht="12.75" x14ac:dyDescent="0.2">
      <c r="A488" s="20">
        <v>41579</v>
      </c>
      <c r="B488" t="s">
        <v>397</v>
      </c>
      <c r="C488" t="s">
        <v>388</v>
      </c>
      <c r="D488" t="s">
        <v>341</v>
      </c>
      <c r="E488" t="str">
        <f>VLOOKUP(DataTable[[#This Row],[Country]],Market!B:C,2,FALSE)</f>
        <v>North America</v>
      </c>
      <c r="F488" s="24">
        <v>250</v>
      </c>
      <c r="G488" s="24">
        <v>29350</v>
      </c>
      <c r="H488" s="24">
        <v>20</v>
      </c>
      <c r="I488" s="27">
        <v>2935</v>
      </c>
      <c r="J488" s="24">
        <v>58700</v>
      </c>
      <c r="K488" s="24">
        <v>6457</v>
      </c>
      <c r="L488" s="1" t="s">
        <v>158</v>
      </c>
      <c r="M488" s="24">
        <v>52243</v>
      </c>
      <c r="N488" s="24">
        <f t="shared" si="7"/>
        <v>22893</v>
      </c>
      <c r="O488" t="str">
        <f>IF(DataTable[[#This Row],[Profit]]/DataTable[[#This Row],[COGS]]*100&gt;20,"Achived","Not Achived")</f>
        <v>Achived</v>
      </c>
      <c r="P488" s="25">
        <f>DataTable[[#This Row],[Profit]]/DataTable[[#This Row],[COGS]]</f>
        <v>0.78</v>
      </c>
      <c r="Q488">
        <f>DataTable[[#This Row],[Manufacturing Price]]*DataTable[[#This Row],[Units Sold]]</f>
        <v>733750</v>
      </c>
      <c r="R488" s="26">
        <f>DataTable[[#This Row],[COGS]]-DataTable[[#This Row],[MC_US]]</f>
        <v>-704400</v>
      </c>
      <c r="S488" s="26">
        <f>IF(DataTable[[#This Row],[COGS-MC_US]]&gt;=0,DataTable[[#This Row],[Manufacturing Price]],DataTable[[#This Row],[COGS]]/DataTable[[#This Row],[Units Sold]])</f>
        <v>10</v>
      </c>
    </row>
    <row r="489" spans="1:19" ht="12.75" x14ac:dyDescent="0.2">
      <c r="A489" s="20">
        <v>41913</v>
      </c>
      <c r="B489" t="s">
        <v>391</v>
      </c>
      <c r="C489" t="s">
        <v>388</v>
      </c>
      <c r="D489" t="s">
        <v>341</v>
      </c>
      <c r="E489" t="str">
        <f>VLOOKUP(DataTable[[#This Row],[Country]],Market!B:C,2,FALSE)</f>
        <v>North America</v>
      </c>
      <c r="F489" s="24">
        <v>5</v>
      </c>
      <c r="G489" s="24">
        <v>13670</v>
      </c>
      <c r="H489" s="24">
        <v>7</v>
      </c>
      <c r="I489" s="27">
        <v>2734</v>
      </c>
      <c r="J489" s="24">
        <v>19138</v>
      </c>
      <c r="K489" s="24">
        <v>2296.56</v>
      </c>
      <c r="L489" s="1" t="s">
        <v>158</v>
      </c>
      <c r="M489" s="24">
        <v>16841.439999999999</v>
      </c>
      <c r="N489" s="24">
        <f t="shared" si="7"/>
        <v>3171.4399999999987</v>
      </c>
      <c r="O489" t="str">
        <f>IF(DataTable[[#This Row],[Profit]]/DataTable[[#This Row],[COGS]]*100&gt;20,"Achived","Not Achived")</f>
        <v>Achived</v>
      </c>
      <c r="P489" s="25">
        <f>DataTable[[#This Row],[Profit]]/DataTable[[#This Row],[COGS]]</f>
        <v>0.2319999999999999</v>
      </c>
      <c r="Q489">
        <f>DataTable[[#This Row],[Manufacturing Price]]*DataTable[[#This Row],[Units Sold]]</f>
        <v>13670</v>
      </c>
      <c r="R489" s="26">
        <f>DataTable[[#This Row],[COGS]]-DataTable[[#This Row],[MC_US]]</f>
        <v>0</v>
      </c>
      <c r="S489" s="26">
        <f>IF(DataTable[[#This Row],[COGS-MC_US]]&gt;=0,DataTable[[#This Row],[Manufacturing Price]],DataTable[[#This Row],[COGS]]/DataTable[[#This Row],[Units Sold]])</f>
        <v>5</v>
      </c>
    </row>
    <row r="490" spans="1:19" ht="12.75" x14ac:dyDescent="0.2">
      <c r="A490" s="20">
        <v>41518</v>
      </c>
      <c r="B490" t="s">
        <v>397</v>
      </c>
      <c r="C490" t="s">
        <v>388</v>
      </c>
      <c r="D490" t="s">
        <v>341</v>
      </c>
      <c r="E490" t="str">
        <f>VLOOKUP(DataTable[[#This Row],[Country]],Market!B:C,2,FALSE)</f>
        <v>North America</v>
      </c>
      <c r="F490" s="24">
        <v>250</v>
      </c>
      <c r="G490" s="24">
        <v>161980</v>
      </c>
      <c r="H490" s="24">
        <v>350</v>
      </c>
      <c r="I490" s="27">
        <v>623</v>
      </c>
      <c r="J490" s="24">
        <v>218050</v>
      </c>
      <c r="K490" s="24">
        <v>26166</v>
      </c>
      <c r="L490" s="1" t="s">
        <v>158</v>
      </c>
      <c r="M490" s="24">
        <v>191884</v>
      </c>
      <c r="N490" s="24">
        <f t="shared" si="7"/>
        <v>29904</v>
      </c>
      <c r="O490" t="str">
        <f>IF(DataTable[[#This Row],[Profit]]/DataTable[[#This Row],[COGS]]*100&gt;20,"Achived","Not Achived")</f>
        <v>Not Achived</v>
      </c>
      <c r="P490" s="25">
        <f>DataTable[[#This Row],[Profit]]/DataTable[[#This Row],[COGS]]</f>
        <v>0.18461538461538463</v>
      </c>
      <c r="Q490">
        <f>DataTable[[#This Row],[Manufacturing Price]]*DataTable[[#This Row],[Units Sold]]</f>
        <v>155750</v>
      </c>
      <c r="R490" s="26">
        <f>DataTable[[#This Row],[COGS]]-DataTable[[#This Row],[MC_US]]</f>
        <v>6230</v>
      </c>
      <c r="S490" s="26">
        <f>IF(DataTable[[#This Row],[COGS-MC_US]]&gt;=0,DataTable[[#This Row],[Manufacturing Price]],DataTable[[#This Row],[COGS]]/DataTable[[#This Row],[Units Sold]])</f>
        <v>250</v>
      </c>
    </row>
    <row r="491" spans="1:19" ht="12.75" x14ac:dyDescent="0.2">
      <c r="A491" s="20">
        <v>41913</v>
      </c>
      <c r="B491" t="s">
        <v>398</v>
      </c>
      <c r="C491" t="s">
        <v>388</v>
      </c>
      <c r="D491" t="s">
        <v>341</v>
      </c>
      <c r="E491" t="str">
        <f>VLOOKUP(DataTable[[#This Row],[Country]],Market!B:C,2,FALSE)</f>
        <v>North America</v>
      </c>
      <c r="F491" s="24">
        <v>260</v>
      </c>
      <c r="G491" s="24">
        <v>13670</v>
      </c>
      <c r="H491" s="24">
        <v>7</v>
      </c>
      <c r="I491" s="27">
        <v>2734</v>
      </c>
      <c r="J491" s="24">
        <v>19138</v>
      </c>
      <c r="K491" s="24">
        <v>2296.56</v>
      </c>
      <c r="L491" s="1" t="s">
        <v>158</v>
      </c>
      <c r="M491" s="24">
        <v>16841.439999999999</v>
      </c>
      <c r="N491" s="24">
        <f t="shared" si="7"/>
        <v>3171.4399999999987</v>
      </c>
      <c r="O491" t="str">
        <f>IF(DataTable[[#This Row],[Profit]]/DataTable[[#This Row],[COGS]]*100&gt;20,"Achived","Not Achived")</f>
        <v>Achived</v>
      </c>
      <c r="P491" s="25">
        <f>DataTable[[#This Row],[Profit]]/DataTable[[#This Row],[COGS]]</f>
        <v>0.2319999999999999</v>
      </c>
      <c r="Q491">
        <f>DataTable[[#This Row],[Manufacturing Price]]*DataTable[[#This Row],[Units Sold]]</f>
        <v>710840</v>
      </c>
      <c r="R491" s="26">
        <f>DataTable[[#This Row],[COGS]]-DataTable[[#This Row],[MC_US]]</f>
        <v>-697170</v>
      </c>
      <c r="S491" s="26">
        <f>IF(DataTable[[#This Row],[COGS-MC_US]]&gt;=0,DataTable[[#This Row],[Manufacturing Price]],DataTable[[#This Row],[COGS]]/DataTable[[#This Row],[Units Sold]])</f>
        <v>5</v>
      </c>
    </row>
    <row r="492" spans="1:19" ht="12.75" x14ac:dyDescent="0.2">
      <c r="A492" s="20">
        <v>41699</v>
      </c>
      <c r="B492" t="s">
        <v>389</v>
      </c>
      <c r="C492" t="s">
        <v>388</v>
      </c>
      <c r="D492" t="s">
        <v>341</v>
      </c>
      <c r="E492" t="str">
        <f>VLOOKUP(DataTable[[#This Row],[Country]],Market!B:C,2,FALSE)</f>
        <v>North America</v>
      </c>
      <c r="F492" s="24">
        <v>3</v>
      </c>
      <c r="G492" s="24">
        <v>239980</v>
      </c>
      <c r="H492" s="24">
        <v>350</v>
      </c>
      <c r="I492" s="27">
        <v>923</v>
      </c>
      <c r="J492" s="24">
        <v>323050</v>
      </c>
      <c r="K492" s="24">
        <v>41996.5</v>
      </c>
      <c r="L492" s="1" t="s">
        <v>158</v>
      </c>
      <c r="M492" s="24">
        <v>281053.5</v>
      </c>
      <c r="N492" s="24">
        <f t="shared" si="7"/>
        <v>41073.5</v>
      </c>
      <c r="O492" t="str">
        <f>IF(DataTable[[#This Row],[Profit]]/DataTable[[#This Row],[COGS]]*100&gt;20,"Achived","Not Achived")</f>
        <v>Not Achived</v>
      </c>
      <c r="P492" s="25">
        <f>DataTable[[#This Row],[Profit]]/DataTable[[#This Row],[COGS]]</f>
        <v>0.17115384615384616</v>
      </c>
      <c r="Q492">
        <f>DataTable[[#This Row],[Manufacturing Price]]*DataTable[[#This Row],[Units Sold]]</f>
        <v>2769</v>
      </c>
      <c r="R492" s="26">
        <f>DataTable[[#This Row],[COGS]]-DataTable[[#This Row],[MC_US]]</f>
        <v>237211</v>
      </c>
      <c r="S492" s="26">
        <f>IF(DataTable[[#This Row],[COGS-MC_US]]&gt;=0,DataTable[[#This Row],[Manufacturing Price]],DataTable[[#This Row],[COGS]]/DataTable[[#This Row],[Units Sold]])</f>
        <v>3</v>
      </c>
    </row>
    <row r="493" spans="1:19" ht="12.75" x14ac:dyDescent="0.2">
      <c r="A493" s="20">
        <v>41913</v>
      </c>
      <c r="B493" t="s">
        <v>391</v>
      </c>
      <c r="C493" t="s">
        <v>388</v>
      </c>
      <c r="D493" t="s">
        <v>341</v>
      </c>
      <c r="E493" t="str">
        <f>VLOOKUP(DataTable[[#This Row],[Country]],Market!B:C,2,FALSE)</f>
        <v>North America</v>
      </c>
      <c r="F493" s="24">
        <v>5</v>
      </c>
      <c r="G493" s="24">
        <v>12490</v>
      </c>
      <c r="H493" s="24">
        <v>20</v>
      </c>
      <c r="I493" s="27">
        <v>1249</v>
      </c>
      <c r="J493" s="24">
        <v>24980</v>
      </c>
      <c r="K493" s="24">
        <v>3247.4</v>
      </c>
      <c r="L493" s="1" t="s">
        <v>158</v>
      </c>
      <c r="M493" s="24">
        <v>21732.6</v>
      </c>
      <c r="N493" s="24">
        <f t="shared" si="7"/>
        <v>9242.5999999999985</v>
      </c>
      <c r="O493" t="str">
        <f>IF(DataTable[[#This Row],[Profit]]/DataTable[[#This Row],[COGS]]*100&gt;20,"Achived","Not Achived")</f>
        <v>Achived</v>
      </c>
      <c r="P493" s="25">
        <f>DataTable[[#This Row],[Profit]]/DataTable[[#This Row],[COGS]]</f>
        <v>0.73999999999999988</v>
      </c>
      <c r="Q493">
        <f>DataTable[[#This Row],[Manufacturing Price]]*DataTable[[#This Row],[Units Sold]]</f>
        <v>6245</v>
      </c>
      <c r="R493" s="26">
        <f>DataTable[[#This Row],[COGS]]-DataTable[[#This Row],[MC_US]]</f>
        <v>6245</v>
      </c>
      <c r="S493" s="26">
        <f>IF(DataTable[[#This Row],[COGS-MC_US]]&gt;=0,DataTable[[#This Row],[Manufacturing Price]],DataTable[[#This Row],[COGS]]/DataTable[[#This Row],[Units Sold]])</f>
        <v>5</v>
      </c>
    </row>
    <row r="494" spans="1:19" ht="12.75" x14ac:dyDescent="0.2">
      <c r="A494" s="20">
        <v>41791</v>
      </c>
      <c r="B494" t="s">
        <v>395</v>
      </c>
      <c r="C494" t="s">
        <v>388</v>
      </c>
      <c r="D494" t="s">
        <v>341</v>
      </c>
      <c r="E494" t="str">
        <f>VLOOKUP(DataTable[[#This Row],[Country]],Market!B:C,2,FALSE)</f>
        <v>North America</v>
      </c>
      <c r="F494" s="24">
        <v>10</v>
      </c>
      <c r="G494" s="24">
        <v>684320</v>
      </c>
      <c r="H494" s="24">
        <v>350</v>
      </c>
      <c r="I494" s="27">
        <v>2632</v>
      </c>
      <c r="J494" s="24">
        <v>921200</v>
      </c>
      <c r="K494" s="24">
        <v>119756</v>
      </c>
      <c r="L494" s="1" t="s">
        <v>158</v>
      </c>
      <c r="M494" s="24">
        <v>801444</v>
      </c>
      <c r="N494" s="24">
        <f t="shared" si="7"/>
        <v>117124</v>
      </c>
      <c r="O494" t="str">
        <f>IF(DataTable[[#This Row],[Profit]]/DataTable[[#This Row],[COGS]]*100&gt;20,"Achived","Not Achived")</f>
        <v>Not Achived</v>
      </c>
      <c r="P494" s="25">
        <f>DataTable[[#This Row],[Profit]]/DataTable[[#This Row],[COGS]]</f>
        <v>0.17115384615384616</v>
      </c>
      <c r="Q494">
        <f>DataTable[[#This Row],[Manufacturing Price]]*DataTable[[#This Row],[Units Sold]]</f>
        <v>26320</v>
      </c>
      <c r="R494" s="26">
        <f>DataTable[[#This Row],[COGS]]-DataTable[[#This Row],[MC_US]]</f>
        <v>658000</v>
      </c>
      <c r="S494" s="26">
        <f>IF(DataTable[[#This Row],[COGS-MC_US]]&gt;=0,DataTable[[#This Row],[Manufacturing Price]],DataTable[[#This Row],[COGS]]/DataTable[[#This Row],[Units Sold]])</f>
        <v>10</v>
      </c>
    </row>
    <row r="495" spans="1:19" ht="12.75" x14ac:dyDescent="0.2">
      <c r="A495" s="20">
        <v>41913</v>
      </c>
      <c r="B495" t="s">
        <v>395</v>
      </c>
      <c r="C495" t="s">
        <v>388</v>
      </c>
      <c r="D495" t="s">
        <v>341</v>
      </c>
      <c r="E495" t="str">
        <f>VLOOKUP(DataTable[[#This Row],[Country]],Market!B:C,2,FALSE)</f>
        <v>North America</v>
      </c>
      <c r="F495" s="24">
        <v>10</v>
      </c>
      <c r="G495" s="24">
        <v>12490</v>
      </c>
      <c r="H495" s="24">
        <v>20</v>
      </c>
      <c r="I495" s="27">
        <v>1249</v>
      </c>
      <c r="J495" s="24">
        <v>24980</v>
      </c>
      <c r="K495" s="24">
        <v>3247.4</v>
      </c>
      <c r="L495" s="1" t="s">
        <v>158</v>
      </c>
      <c r="M495" s="24">
        <v>21732.6</v>
      </c>
      <c r="N495" s="24">
        <f t="shared" si="7"/>
        <v>9242.5999999999985</v>
      </c>
      <c r="O495" t="str">
        <f>IF(DataTable[[#This Row],[Profit]]/DataTable[[#This Row],[COGS]]*100&gt;20,"Achived","Not Achived")</f>
        <v>Achived</v>
      </c>
      <c r="P495" s="25">
        <f>DataTable[[#This Row],[Profit]]/DataTable[[#This Row],[COGS]]</f>
        <v>0.73999999999999988</v>
      </c>
      <c r="Q495">
        <f>DataTable[[#This Row],[Manufacturing Price]]*DataTable[[#This Row],[Units Sold]]</f>
        <v>12490</v>
      </c>
      <c r="R495" s="26">
        <f>DataTable[[#This Row],[COGS]]-DataTable[[#This Row],[MC_US]]</f>
        <v>0</v>
      </c>
      <c r="S495" s="26">
        <f>IF(DataTable[[#This Row],[COGS-MC_US]]&gt;=0,DataTable[[#This Row],[Manufacturing Price]],DataTable[[#This Row],[COGS]]/DataTable[[#This Row],[Units Sold]])</f>
        <v>10</v>
      </c>
    </row>
    <row r="496" spans="1:19" ht="12.75" x14ac:dyDescent="0.2">
      <c r="A496" s="20">
        <v>41791</v>
      </c>
      <c r="B496" t="s">
        <v>396</v>
      </c>
      <c r="C496" t="s">
        <v>388</v>
      </c>
      <c r="D496" t="s">
        <v>341</v>
      </c>
      <c r="E496" t="str">
        <f>VLOOKUP(DataTable[[#This Row],[Country]],Market!B:C,2,FALSE)</f>
        <v>North America</v>
      </c>
      <c r="F496" s="24">
        <v>120</v>
      </c>
      <c r="G496" s="24">
        <v>684320</v>
      </c>
      <c r="H496" s="24">
        <v>350</v>
      </c>
      <c r="I496" s="27">
        <v>2632</v>
      </c>
      <c r="J496" s="24">
        <v>921200</v>
      </c>
      <c r="K496" s="24">
        <v>119756</v>
      </c>
      <c r="L496" s="1" t="s">
        <v>158</v>
      </c>
      <c r="M496" s="24">
        <v>801444</v>
      </c>
      <c r="N496" s="24">
        <f t="shared" si="7"/>
        <v>117124</v>
      </c>
      <c r="O496" t="str">
        <f>IF(DataTable[[#This Row],[Profit]]/DataTable[[#This Row],[COGS]]*100&gt;20,"Achived","Not Achived")</f>
        <v>Not Achived</v>
      </c>
      <c r="P496" s="25">
        <f>DataTable[[#This Row],[Profit]]/DataTable[[#This Row],[COGS]]</f>
        <v>0.17115384615384616</v>
      </c>
      <c r="Q496">
        <f>DataTable[[#This Row],[Manufacturing Price]]*DataTable[[#This Row],[Units Sold]]</f>
        <v>315840</v>
      </c>
      <c r="R496" s="26">
        <f>DataTable[[#This Row],[COGS]]-DataTable[[#This Row],[MC_US]]</f>
        <v>368480</v>
      </c>
      <c r="S496" s="26">
        <f>IF(DataTable[[#This Row],[COGS-MC_US]]&gt;=0,DataTable[[#This Row],[Manufacturing Price]],DataTable[[#This Row],[COGS]]/DataTable[[#This Row],[Units Sold]])</f>
        <v>120</v>
      </c>
    </row>
    <row r="497" spans="1:19" ht="12.75" x14ac:dyDescent="0.2">
      <c r="A497" s="20">
        <v>41699</v>
      </c>
      <c r="B497" t="s">
        <v>395</v>
      </c>
      <c r="C497" t="s">
        <v>388</v>
      </c>
      <c r="D497" t="s">
        <v>341</v>
      </c>
      <c r="E497" t="str">
        <f>VLOOKUP(DataTable[[#This Row],[Country]],Market!B:C,2,FALSE)</f>
        <v>North America</v>
      </c>
      <c r="F497" s="24">
        <v>10</v>
      </c>
      <c r="G497" s="24">
        <v>24280</v>
      </c>
      <c r="H497" s="24">
        <v>20</v>
      </c>
      <c r="I497" s="27">
        <v>2428</v>
      </c>
      <c r="J497" s="24">
        <v>48560</v>
      </c>
      <c r="K497" s="24">
        <v>6798.4</v>
      </c>
      <c r="L497" s="1" t="s">
        <v>158</v>
      </c>
      <c r="M497" s="24">
        <v>41761.599999999999</v>
      </c>
      <c r="N497" s="24">
        <f t="shared" si="7"/>
        <v>17481.599999999999</v>
      </c>
      <c r="O497" t="str">
        <f>IF(DataTable[[#This Row],[Profit]]/DataTable[[#This Row],[COGS]]*100&gt;20,"Achived","Not Achived")</f>
        <v>Achived</v>
      </c>
      <c r="P497" s="25">
        <f>DataTable[[#This Row],[Profit]]/DataTable[[#This Row],[COGS]]</f>
        <v>0.72</v>
      </c>
      <c r="Q497">
        <f>DataTable[[#This Row],[Manufacturing Price]]*DataTable[[#This Row],[Units Sold]]</f>
        <v>24280</v>
      </c>
      <c r="R497" s="26">
        <f>DataTable[[#This Row],[COGS]]-DataTable[[#This Row],[MC_US]]</f>
        <v>0</v>
      </c>
      <c r="S497" s="26">
        <f>IF(DataTable[[#This Row],[COGS-MC_US]]&gt;=0,DataTable[[#This Row],[Manufacturing Price]],DataTable[[#This Row],[COGS]]/DataTable[[#This Row],[Units Sold]])</f>
        <v>10</v>
      </c>
    </row>
    <row r="498" spans="1:19" ht="12.75" x14ac:dyDescent="0.2">
      <c r="A498" s="20">
        <v>41640</v>
      </c>
      <c r="B498" t="s">
        <v>391</v>
      </c>
      <c r="C498" t="s">
        <v>388</v>
      </c>
      <c r="D498" t="s">
        <v>341</v>
      </c>
      <c r="E498" t="str">
        <f>VLOOKUP(DataTable[[#This Row],[Country]],Market!B:C,2,FALSE)</f>
        <v>North America</v>
      </c>
      <c r="F498" s="24">
        <v>5</v>
      </c>
      <c r="G498" s="24">
        <v>579150</v>
      </c>
      <c r="H498" s="24">
        <v>350</v>
      </c>
      <c r="I498" s="27">
        <v>2227.5</v>
      </c>
      <c r="J498" s="24">
        <v>779625</v>
      </c>
      <c r="K498" s="24">
        <v>109147.5</v>
      </c>
      <c r="L498" s="1" t="s">
        <v>158</v>
      </c>
      <c r="M498" s="24">
        <v>670477.5</v>
      </c>
      <c r="N498" s="24">
        <f t="shared" si="7"/>
        <v>91327.5</v>
      </c>
      <c r="O498" t="str">
        <f>IF(DataTable[[#This Row],[Profit]]/DataTable[[#This Row],[COGS]]*100&gt;20,"Achived","Not Achived")</f>
        <v>Not Achived</v>
      </c>
      <c r="P498" s="25">
        <f>DataTable[[#This Row],[Profit]]/DataTable[[#This Row],[COGS]]</f>
        <v>0.15769230769230769</v>
      </c>
      <c r="Q498">
        <f>DataTable[[#This Row],[Manufacturing Price]]*DataTable[[#This Row],[Units Sold]]</f>
        <v>11137.5</v>
      </c>
      <c r="R498" s="26">
        <f>DataTable[[#This Row],[COGS]]-DataTable[[#This Row],[MC_US]]</f>
        <v>568012.5</v>
      </c>
      <c r="S498" s="26">
        <f>IF(DataTable[[#This Row],[COGS-MC_US]]&gt;=0,DataTable[[#This Row],[Manufacturing Price]],DataTable[[#This Row],[COGS]]/DataTable[[#This Row],[Units Sold]])</f>
        <v>5</v>
      </c>
    </row>
    <row r="499" spans="1:19" ht="12.75" x14ac:dyDescent="0.2">
      <c r="A499" s="20">
        <v>41760</v>
      </c>
      <c r="B499" t="s">
        <v>391</v>
      </c>
      <c r="C499" t="s">
        <v>388</v>
      </c>
      <c r="D499" t="s">
        <v>341</v>
      </c>
      <c r="E499" t="str">
        <f>VLOOKUP(DataTable[[#This Row],[Country]],Market!B:C,2,FALSE)</f>
        <v>North America</v>
      </c>
      <c r="F499" s="24">
        <v>5</v>
      </c>
      <c r="G499" s="24">
        <v>52000</v>
      </c>
      <c r="H499" s="24">
        <v>350</v>
      </c>
      <c r="I499" s="27">
        <v>200</v>
      </c>
      <c r="J499" s="24">
        <v>70000</v>
      </c>
      <c r="K499" s="24">
        <v>9800</v>
      </c>
      <c r="L499" s="1" t="s">
        <v>158</v>
      </c>
      <c r="M499" s="24">
        <v>60200</v>
      </c>
      <c r="N499" s="24">
        <f t="shared" si="7"/>
        <v>8200</v>
      </c>
      <c r="O499" t="str">
        <f>IF(DataTable[[#This Row],[Profit]]/DataTable[[#This Row],[COGS]]*100&gt;20,"Achived","Not Achived")</f>
        <v>Not Achived</v>
      </c>
      <c r="P499" s="25">
        <f>DataTable[[#This Row],[Profit]]/DataTable[[#This Row],[COGS]]</f>
        <v>0.15769230769230769</v>
      </c>
      <c r="Q499">
        <f>DataTable[[#This Row],[Manufacturing Price]]*DataTable[[#This Row],[Units Sold]]</f>
        <v>1000</v>
      </c>
      <c r="R499" s="26">
        <f>DataTable[[#This Row],[COGS]]-DataTable[[#This Row],[MC_US]]</f>
        <v>51000</v>
      </c>
      <c r="S499" s="26">
        <f>IF(DataTable[[#This Row],[COGS-MC_US]]&gt;=0,DataTable[[#This Row],[Manufacturing Price]],DataTable[[#This Row],[COGS]]/DataTable[[#This Row],[Units Sold]])</f>
        <v>5</v>
      </c>
    </row>
    <row r="500" spans="1:19" ht="12.75" x14ac:dyDescent="0.2">
      <c r="A500" s="20">
        <v>41883</v>
      </c>
      <c r="B500" t="s">
        <v>391</v>
      </c>
      <c r="C500" t="s">
        <v>388</v>
      </c>
      <c r="D500" t="s">
        <v>341</v>
      </c>
      <c r="E500" t="str">
        <f>VLOOKUP(DataTable[[#This Row],[Country]],Market!B:C,2,FALSE)</f>
        <v>North America</v>
      </c>
      <c r="F500" s="24">
        <v>5</v>
      </c>
      <c r="G500" s="24">
        <v>1940</v>
      </c>
      <c r="H500" s="24">
        <v>7</v>
      </c>
      <c r="I500" s="27">
        <v>388</v>
      </c>
      <c r="J500" s="24">
        <v>2716</v>
      </c>
      <c r="K500" s="24">
        <v>380.24</v>
      </c>
      <c r="L500" s="1" t="s">
        <v>158</v>
      </c>
      <c r="M500" s="24">
        <v>2335.7600000000002</v>
      </c>
      <c r="N500" s="24">
        <f t="shared" si="7"/>
        <v>395.76000000000022</v>
      </c>
      <c r="O500" t="str">
        <f>IF(DataTable[[#This Row],[Profit]]/DataTable[[#This Row],[COGS]]*100&gt;20,"Achived","Not Achived")</f>
        <v>Achived</v>
      </c>
      <c r="P500" s="25">
        <f>DataTable[[#This Row],[Profit]]/DataTable[[#This Row],[COGS]]</f>
        <v>0.20400000000000013</v>
      </c>
      <c r="Q500">
        <f>DataTable[[#This Row],[Manufacturing Price]]*DataTable[[#This Row],[Units Sold]]</f>
        <v>1940</v>
      </c>
      <c r="R500" s="26">
        <f>DataTable[[#This Row],[COGS]]-DataTable[[#This Row],[MC_US]]</f>
        <v>0</v>
      </c>
      <c r="S500" s="26">
        <f>IF(DataTable[[#This Row],[COGS-MC_US]]&gt;=0,DataTable[[#This Row],[Manufacturing Price]],DataTable[[#This Row],[COGS]]/DataTable[[#This Row],[Units Sold]])</f>
        <v>5</v>
      </c>
    </row>
    <row r="501" spans="1:19" ht="12.75" x14ac:dyDescent="0.2">
      <c r="A501" s="20">
        <v>41944</v>
      </c>
      <c r="B501" t="s">
        <v>395</v>
      </c>
      <c r="C501" t="s">
        <v>388</v>
      </c>
      <c r="D501" t="s">
        <v>341</v>
      </c>
      <c r="E501" t="str">
        <f>VLOOKUP(DataTable[[#This Row],[Country]],Market!B:C,2,FALSE)</f>
        <v>North America</v>
      </c>
      <c r="F501" s="24">
        <v>10</v>
      </c>
      <c r="G501" s="24">
        <v>182000</v>
      </c>
      <c r="H501" s="24">
        <v>350</v>
      </c>
      <c r="I501" s="27">
        <v>700</v>
      </c>
      <c r="J501" s="24">
        <v>245000</v>
      </c>
      <c r="K501" s="24">
        <v>34300</v>
      </c>
      <c r="L501" s="1" t="s">
        <v>158</v>
      </c>
      <c r="M501" s="24">
        <v>210700</v>
      </c>
      <c r="N501" s="24">
        <f t="shared" si="7"/>
        <v>28700</v>
      </c>
      <c r="O501" t="str">
        <f>IF(DataTable[[#This Row],[Profit]]/DataTable[[#This Row],[COGS]]*100&gt;20,"Achived","Not Achived")</f>
        <v>Not Achived</v>
      </c>
      <c r="P501" s="25">
        <f>DataTable[[#This Row],[Profit]]/DataTable[[#This Row],[COGS]]</f>
        <v>0.15769230769230769</v>
      </c>
      <c r="Q501">
        <f>DataTable[[#This Row],[Manufacturing Price]]*DataTable[[#This Row],[Units Sold]]</f>
        <v>7000</v>
      </c>
      <c r="R501" s="26">
        <f>DataTable[[#This Row],[COGS]]-DataTable[[#This Row],[MC_US]]</f>
        <v>175000</v>
      </c>
      <c r="S501" s="26">
        <f>IF(DataTable[[#This Row],[COGS-MC_US]]&gt;=0,DataTable[[#This Row],[Manufacturing Price]],DataTable[[#This Row],[COGS]]/DataTable[[#This Row],[Units Sold]])</f>
        <v>10</v>
      </c>
    </row>
    <row r="502" spans="1:19" ht="12.75" x14ac:dyDescent="0.2">
      <c r="A502" s="20">
        <v>41821</v>
      </c>
      <c r="B502" t="s">
        <v>397</v>
      </c>
      <c r="C502" t="s">
        <v>388</v>
      </c>
      <c r="D502" t="s">
        <v>341</v>
      </c>
      <c r="E502" t="str">
        <f>VLOOKUP(DataTable[[#This Row],[Country]],Market!B:C,2,FALSE)</f>
        <v>North America</v>
      </c>
      <c r="F502" s="24">
        <v>250</v>
      </c>
      <c r="G502" s="24">
        <v>8655</v>
      </c>
      <c r="H502" s="24">
        <v>20</v>
      </c>
      <c r="I502" s="27">
        <v>865.5</v>
      </c>
      <c r="J502" s="24">
        <v>17310</v>
      </c>
      <c r="K502" s="24">
        <v>2596.5</v>
      </c>
      <c r="L502" s="1" t="s">
        <v>158</v>
      </c>
      <c r="M502" s="24">
        <v>14713.5</v>
      </c>
      <c r="N502" s="24">
        <f t="shared" si="7"/>
        <v>6058.5</v>
      </c>
      <c r="O502" t="str">
        <f>IF(DataTable[[#This Row],[Profit]]/DataTable[[#This Row],[COGS]]*100&gt;20,"Achived","Not Achived")</f>
        <v>Achived</v>
      </c>
      <c r="P502" s="25">
        <f>DataTable[[#This Row],[Profit]]/DataTable[[#This Row],[COGS]]</f>
        <v>0.7</v>
      </c>
      <c r="Q502">
        <f>DataTable[[#This Row],[Manufacturing Price]]*DataTable[[#This Row],[Units Sold]]</f>
        <v>216375</v>
      </c>
      <c r="R502" s="26">
        <f>DataTable[[#This Row],[COGS]]-DataTable[[#This Row],[MC_US]]</f>
        <v>-207720</v>
      </c>
      <c r="S502" s="26">
        <f>IF(DataTable[[#This Row],[COGS-MC_US]]&gt;=0,DataTable[[#This Row],[Manufacturing Price]],DataTable[[#This Row],[COGS]]/DataTable[[#This Row],[Units Sold]])</f>
        <v>10</v>
      </c>
    </row>
    <row r="503" spans="1:19" ht="12.75" x14ac:dyDescent="0.2">
      <c r="A503" s="20">
        <v>41730</v>
      </c>
      <c r="B503" t="s">
        <v>395</v>
      </c>
      <c r="C503" t="s">
        <v>388</v>
      </c>
      <c r="D503" t="s">
        <v>341</v>
      </c>
      <c r="E503" t="str">
        <f>VLOOKUP(DataTable[[#This Row],[Country]],Market!B:C,2,FALSE)</f>
        <v>North America</v>
      </c>
      <c r="F503" s="24">
        <v>10</v>
      </c>
      <c r="G503" s="24">
        <v>3615</v>
      </c>
      <c r="H503" s="24">
        <v>7</v>
      </c>
      <c r="I503" s="27">
        <v>723</v>
      </c>
      <c r="J503" s="24">
        <v>5061</v>
      </c>
      <c r="K503" s="24">
        <v>759.15</v>
      </c>
      <c r="L503" s="1" t="s">
        <v>158</v>
      </c>
      <c r="M503" s="24">
        <v>4301.8500000000004</v>
      </c>
      <c r="N503" s="24">
        <f t="shared" si="7"/>
        <v>686.85000000000036</v>
      </c>
      <c r="O503" t="str">
        <f>IF(DataTable[[#This Row],[Profit]]/DataTable[[#This Row],[COGS]]*100&gt;20,"Achived","Not Achived")</f>
        <v>Not Achived</v>
      </c>
      <c r="P503" s="25">
        <f>DataTable[[#This Row],[Profit]]/DataTable[[#This Row],[COGS]]</f>
        <v>0.19000000000000011</v>
      </c>
      <c r="Q503">
        <f>DataTable[[#This Row],[Manufacturing Price]]*DataTable[[#This Row],[Units Sold]]</f>
        <v>7230</v>
      </c>
      <c r="R503" s="26">
        <f>DataTable[[#This Row],[COGS]]-DataTable[[#This Row],[MC_US]]</f>
        <v>-3615</v>
      </c>
      <c r="S503" s="26">
        <f>IF(DataTable[[#This Row],[COGS-MC_US]]&gt;=0,DataTable[[#This Row],[Manufacturing Price]],DataTable[[#This Row],[COGS]]/DataTable[[#This Row],[Units Sold]])</f>
        <v>5</v>
      </c>
    </row>
    <row r="504" spans="1:19" ht="12.75" hidden="1" x14ac:dyDescent="0.2">
      <c r="A504" s="20">
        <v>41974</v>
      </c>
      <c r="B504" t="s">
        <v>391</v>
      </c>
      <c r="C504" t="s">
        <v>390</v>
      </c>
      <c r="D504" t="s">
        <v>359</v>
      </c>
      <c r="E504" t="str">
        <f>VLOOKUP(DataTable[[#This Row],[Country]],Market!B:C,2,FALSE)</f>
        <v>North America</v>
      </c>
      <c r="F504" s="24">
        <v>5</v>
      </c>
      <c r="G504" s="24">
        <v>6150</v>
      </c>
      <c r="H504" s="24">
        <v>15</v>
      </c>
      <c r="I504" s="27">
        <v>615</v>
      </c>
      <c r="J504" s="24">
        <v>9225</v>
      </c>
      <c r="K504" s="24">
        <v>0</v>
      </c>
      <c r="L504" s="1" t="s">
        <v>12</v>
      </c>
      <c r="M504" s="24">
        <v>9225</v>
      </c>
      <c r="N504" s="24">
        <f t="shared" si="7"/>
        <v>3075</v>
      </c>
      <c r="O504" t="str">
        <f>IF(DataTable[[#This Row],[Profit]]/DataTable[[#This Row],[COGS]]*100&gt;20,"Achived","Not Achived")</f>
        <v>Achived</v>
      </c>
      <c r="P504" s="25">
        <f>DataTable[[#This Row],[Profit]]/DataTable[[#This Row],[COGS]]</f>
        <v>0.5</v>
      </c>
      <c r="Q504">
        <f>DataTable[[#This Row],[Manufacturing Price]]*DataTable[[#This Row],[Units Sold]]</f>
        <v>3075</v>
      </c>
      <c r="R504" s="26">
        <f>DataTable[[#This Row],[COGS]]-DataTable[[#This Row],[MC_US]]</f>
        <v>3075</v>
      </c>
      <c r="S504" s="26">
        <f>IF(DataTable[[#This Row],[COGS-MC_US]]&gt;=0,DataTable[[#This Row],[Manufacturing Price]],DataTable[[#This Row],[COGS]]/DataTable[[#This Row],[Units Sold]])</f>
        <v>5</v>
      </c>
    </row>
    <row r="505" spans="1:19" ht="12.75" hidden="1" x14ac:dyDescent="0.2">
      <c r="A505" s="20">
        <v>41974</v>
      </c>
      <c r="B505" t="s">
        <v>398</v>
      </c>
      <c r="C505" t="s">
        <v>390</v>
      </c>
      <c r="D505" t="s">
        <v>359</v>
      </c>
      <c r="E505" t="str">
        <f>VLOOKUP(DataTable[[#This Row],[Country]],Market!B:C,2,FALSE)</f>
        <v>North America</v>
      </c>
      <c r="F505" s="24">
        <v>260</v>
      </c>
      <c r="G505" s="24">
        <v>6150</v>
      </c>
      <c r="H505" s="24">
        <v>15</v>
      </c>
      <c r="I505" s="27">
        <v>615</v>
      </c>
      <c r="J505" s="24">
        <v>9225</v>
      </c>
      <c r="K505" s="24">
        <v>0</v>
      </c>
      <c r="L505" s="1" t="s">
        <v>12</v>
      </c>
      <c r="M505" s="24">
        <v>9225</v>
      </c>
      <c r="N505" s="24">
        <f t="shared" si="7"/>
        <v>3075</v>
      </c>
      <c r="O505" t="str">
        <f>IF(DataTable[[#This Row],[Profit]]/DataTable[[#This Row],[COGS]]*100&gt;20,"Achived","Not Achived")</f>
        <v>Achived</v>
      </c>
      <c r="P505" s="25">
        <f>DataTable[[#This Row],[Profit]]/DataTable[[#This Row],[COGS]]</f>
        <v>0.5</v>
      </c>
      <c r="Q505">
        <f>DataTable[[#This Row],[Manufacturing Price]]*DataTable[[#This Row],[Units Sold]]</f>
        <v>159900</v>
      </c>
      <c r="R505" s="26">
        <f>DataTable[[#This Row],[COGS]]-DataTable[[#This Row],[MC_US]]</f>
        <v>-153750</v>
      </c>
      <c r="S505" s="26">
        <f>IF(DataTable[[#This Row],[COGS-MC_US]]&gt;=0,DataTable[[#This Row],[Manufacturing Price]],DataTable[[#This Row],[COGS]]/DataTable[[#This Row],[Units Sold]])</f>
        <v>10</v>
      </c>
    </row>
    <row r="506" spans="1:19" ht="12.75" hidden="1" x14ac:dyDescent="0.2">
      <c r="A506" s="20">
        <v>41671</v>
      </c>
      <c r="B506" t="s">
        <v>395</v>
      </c>
      <c r="C506" t="s">
        <v>390</v>
      </c>
      <c r="D506" t="s">
        <v>359</v>
      </c>
      <c r="E506" t="str">
        <f>VLOOKUP(DataTable[[#This Row],[Country]],Market!B:C,2,FALSE)</f>
        <v>North America</v>
      </c>
      <c r="F506" s="24">
        <v>10</v>
      </c>
      <c r="G506" s="24">
        <v>15140</v>
      </c>
      <c r="H506" s="24">
        <v>15</v>
      </c>
      <c r="I506" s="27">
        <v>1514</v>
      </c>
      <c r="J506" s="24">
        <v>22710</v>
      </c>
      <c r="K506" s="24">
        <v>227.1</v>
      </c>
      <c r="L506" s="1" t="s">
        <v>57</v>
      </c>
      <c r="M506" s="24">
        <v>22482.9</v>
      </c>
      <c r="N506" s="24">
        <f t="shared" si="7"/>
        <v>7342.9000000000015</v>
      </c>
      <c r="O506" t="str">
        <f>IF(DataTable[[#This Row],[Profit]]/DataTable[[#This Row],[COGS]]*100&gt;20,"Achived","Not Achived")</f>
        <v>Achived</v>
      </c>
      <c r="P506" s="25">
        <f>DataTable[[#This Row],[Profit]]/DataTable[[#This Row],[COGS]]</f>
        <v>0.4850000000000001</v>
      </c>
      <c r="Q506">
        <f>DataTable[[#This Row],[Manufacturing Price]]*DataTable[[#This Row],[Units Sold]]</f>
        <v>15140</v>
      </c>
      <c r="R506" s="26">
        <f>DataTable[[#This Row],[COGS]]-DataTable[[#This Row],[MC_US]]</f>
        <v>0</v>
      </c>
      <c r="S506" s="26">
        <f>IF(DataTable[[#This Row],[COGS-MC_US]]&gt;=0,DataTable[[#This Row],[Manufacturing Price]],DataTable[[#This Row],[COGS]]/DataTable[[#This Row],[Units Sold]])</f>
        <v>10</v>
      </c>
    </row>
    <row r="507" spans="1:19" ht="12.75" hidden="1" x14ac:dyDescent="0.2">
      <c r="A507" s="20">
        <v>41609</v>
      </c>
      <c r="B507" t="s">
        <v>395</v>
      </c>
      <c r="C507" t="s">
        <v>390</v>
      </c>
      <c r="D507" t="s">
        <v>359</v>
      </c>
      <c r="E507" t="str">
        <f>VLOOKUP(DataTable[[#This Row],[Country]],Market!B:C,2,FALSE)</f>
        <v>North America</v>
      </c>
      <c r="F507" s="24">
        <v>10</v>
      </c>
      <c r="G507" s="24">
        <v>19250</v>
      </c>
      <c r="H507" s="24">
        <v>15</v>
      </c>
      <c r="I507" s="27">
        <v>1925</v>
      </c>
      <c r="J507" s="24">
        <v>28875</v>
      </c>
      <c r="K507" s="24">
        <v>577.5</v>
      </c>
      <c r="L507" s="1" t="s">
        <v>57</v>
      </c>
      <c r="M507" s="24">
        <v>28297.5</v>
      </c>
      <c r="N507" s="24">
        <f t="shared" si="7"/>
        <v>9047.5</v>
      </c>
      <c r="O507" t="str">
        <f>IF(DataTable[[#This Row],[Profit]]/DataTable[[#This Row],[COGS]]*100&gt;20,"Achived","Not Achived")</f>
        <v>Achived</v>
      </c>
      <c r="P507" s="25">
        <f>DataTable[[#This Row],[Profit]]/DataTable[[#This Row],[COGS]]</f>
        <v>0.47</v>
      </c>
      <c r="Q507">
        <f>DataTable[[#This Row],[Manufacturing Price]]*DataTable[[#This Row],[Units Sold]]</f>
        <v>19250</v>
      </c>
      <c r="R507" s="26">
        <f>DataTable[[#This Row],[COGS]]-DataTable[[#This Row],[MC_US]]</f>
        <v>0</v>
      </c>
      <c r="S507" s="26">
        <f>IF(DataTable[[#This Row],[COGS-MC_US]]&gt;=0,DataTable[[#This Row],[Manufacturing Price]],DataTable[[#This Row],[COGS]]/DataTable[[#This Row],[Units Sold]])</f>
        <v>10</v>
      </c>
    </row>
    <row r="508" spans="1:19" ht="12.75" hidden="1" x14ac:dyDescent="0.2">
      <c r="A508" s="20">
        <v>41548</v>
      </c>
      <c r="B508" t="s">
        <v>395</v>
      </c>
      <c r="C508" t="s">
        <v>390</v>
      </c>
      <c r="D508" t="s">
        <v>359</v>
      </c>
      <c r="E508" t="str">
        <f>VLOOKUP(DataTable[[#This Row],[Country]],Market!B:C,2,FALSE)</f>
        <v>North America</v>
      </c>
      <c r="F508" s="24">
        <v>10</v>
      </c>
      <c r="G508" s="24">
        <v>6710</v>
      </c>
      <c r="H508" s="24">
        <v>15</v>
      </c>
      <c r="I508" s="27">
        <v>671</v>
      </c>
      <c r="J508" s="24">
        <v>10065</v>
      </c>
      <c r="K508" s="24">
        <v>402.6</v>
      </c>
      <c r="L508" s="1" t="s">
        <v>57</v>
      </c>
      <c r="M508" s="24">
        <v>9662.4</v>
      </c>
      <c r="N508" s="24">
        <f t="shared" si="7"/>
        <v>2952.3999999999996</v>
      </c>
      <c r="O508" t="str">
        <f>IF(DataTable[[#This Row],[Profit]]/DataTable[[#This Row],[COGS]]*100&gt;20,"Achived","Not Achived")</f>
        <v>Achived</v>
      </c>
      <c r="P508" s="25">
        <f>DataTable[[#This Row],[Profit]]/DataTable[[#This Row],[COGS]]</f>
        <v>0.43999999999999995</v>
      </c>
      <c r="Q508">
        <f>DataTable[[#This Row],[Manufacturing Price]]*DataTable[[#This Row],[Units Sold]]</f>
        <v>6710</v>
      </c>
      <c r="R508" s="26">
        <f>DataTable[[#This Row],[COGS]]-DataTable[[#This Row],[MC_US]]</f>
        <v>0</v>
      </c>
      <c r="S508" s="26">
        <f>IF(DataTable[[#This Row],[COGS-MC_US]]&gt;=0,DataTable[[#This Row],[Manufacturing Price]],DataTable[[#This Row],[COGS]]/DataTable[[#This Row],[Units Sold]])</f>
        <v>10</v>
      </c>
    </row>
    <row r="509" spans="1:19" ht="12.75" hidden="1" x14ac:dyDescent="0.2">
      <c r="A509" s="20">
        <v>41548</v>
      </c>
      <c r="B509" t="s">
        <v>398</v>
      </c>
      <c r="C509" t="s">
        <v>390</v>
      </c>
      <c r="D509" t="s">
        <v>359</v>
      </c>
      <c r="E509" t="str">
        <f>VLOOKUP(DataTable[[#This Row],[Country]],Market!B:C,2,FALSE)</f>
        <v>North America</v>
      </c>
      <c r="F509" s="24">
        <v>260</v>
      </c>
      <c r="G509" s="24">
        <v>6710</v>
      </c>
      <c r="H509" s="24">
        <v>15</v>
      </c>
      <c r="I509" s="27">
        <v>671</v>
      </c>
      <c r="J509" s="24">
        <v>10065</v>
      </c>
      <c r="K509" s="24">
        <v>402.6</v>
      </c>
      <c r="L509" s="1" t="s">
        <v>57</v>
      </c>
      <c r="M509" s="24">
        <v>9662.4</v>
      </c>
      <c r="N509" s="24">
        <f t="shared" si="7"/>
        <v>2952.3999999999996</v>
      </c>
      <c r="O509" t="str">
        <f>IF(DataTable[[#This Row],[Profit]]/DataTable[[#This Row],[COGS]]*100&gt;20,"Achived","Not Achived")</f>
        <v>Achived</v>
      </c>
      <c r="P509" s="25">
        <f>DataTable[[#This Row],[Profit]]/DataTable[[#This Row],[COGS]]</f>
        <v>0.43999999999999995</v>
      </c>
      <c r="Q509">
        <f>DataTable[[#This Row],[Manufacturing Price]]*DataTable[[#This Row],[Units Sold]]</f>
        <v>174460</v>
      </c>
      <c r="R509" s="26">
        <f>DataTable[[#This Row],[COGS]]-DataTable[[#This Row],[MC_US]]</f>
        <v>-167750</v>
      </c>
      <c r="S509" s="26">
        <f>IF(DataTable[[#This Row],[COGS-MC_US]]&gt;=0,DataTable[[#This Row],[Manufacturing Price]],DataTable[[#This Row],[COGS]]/DataTable[[#This Row],[Units Sold]])</f>
        <v>10</v>
      </c>
    </row>
    <row r="510" spans="1:19" ht="12.75" hidden="1" x14ac:dyDescent="0.2">
      <c r="A510" s="20">
        <v>41640</v>
      </c>
      <c r="B510" t="s">
        <v>396</v>
      </c>
      <c r="C510" t="s">
        <v>390</v>
      </c>
      <c r="D510" t="s">
        <v>359</v>
      </c>
      <c r="E510" t="str">
        <f>VLOOKUP(DataTable[[#This Row],[Country]],Market!B:C,2,FALSE)</f>
        <v>North America</v>
      </c>
      <c r="F510" s="24">
        <v>120</v>
      </c>
      <c r="G510" s="24">
        <v>5550</v>
      </c>
      <c r="H510" s="24">
        <v>15</v>
      </c>
      <c r="I510" s="27">
        <v>555</v>
      </c>
      <c r="J510" s="24">
        <v>8325</v>
      </c>
      <c r="K510" s="24">
        <v>416.25</v>
      </c>
      <c r="L510" s="1" t="s">
        <v>124</v>
      </c>
      <c r="M510" s="24">
        <v>7908.75</v>
      </c>
      <c r="N510" s="24">
        <f t="shared" si="7"/>
        <v>2358.75</v>
      </c>
      <c r="O510" t="str">
        <f>IF(DataTable[[#This Row],[Profit]]/DataTable[[#This Row],[COGS]]*100&gt;20,"Achived","Not Achived")</f>
        <v>Achived</v>
      </c>
      <c r="P510" s="25">
        <f>DataTable[[#This Row],[Profit]]/DataTable[[#This Row],[COGS]]</f>
        <v>0.42499999999999999</v>
      </c>
      <c r="Q510">
        <f>DataTable[[#This Row],[Manufacturing Price]]*DataTable[[#This Row],[Units Sold]]</f>
        <v>66600</v>
      </c>
      <c r="R510" s="26">
        <f>DataTable[[#This Row],[COGS]]-DataTable[[#This Row],[MC_US]]</f>
        <v>-61050</v>
      </c>
      <c r="S510" s="26">
        <f>IF(DataTable[[#This Row],[COGS-MC_US]]&gt;=0,DataTable[[#This Row],[Manufacturing Price]],DataTable[[#This Row],[COGS]]/DataTable[[#This Row],[Units Sold]])</f>
        <v>10</v>
      </c>
    </row>
    <row r="511" spans="1:19" ht="12.75" hidden="1" x14ac:dyDescent="0.2">
      <c r="A511" s="20">
        <v>41944</v>
      </c>
      <c r="B511" t="s">
        <v>389</v>
      </c>
      <c r="C511" t="s">
        <v>390</v>
      </c>
      <c r="D511" t="s">
        <v>359</v>
      </c>
      <c r="E511" t="str">
        <f>VLOOKUP(DataTable[[#This Row],[Country]],Market!B:C,2,FALSE)</f>
        <v>North America</v>
      </c>
      <c r="F511" s="24">
        <v>3</v>
      </c>
      <c r="G511" s="24">
        <v>20300</v>
      </c>
      <c r="H511" s="24">
        <v>15</v>
      </c>
      <c r="I511" s="27">
        <v>2030</v>
      </c>
      <c r="J511" s="24">
        <v>30450</v>
      </c>
      <c r="K511" s="24">
        <v>1827</v>
      </c>
      <c r="L511" s="1" t="s">
        <v>124</v>
      </c>
      <c r="M511" s="24">
        <v>28623</v>
      </c>
      <c r="N511" s="24">
        <f t="shared" si="7"/>
        <v>8323</v>
      </c>
      <c r="O511" t="str">
        <f>IF(DataTable[[#This Row],[Profit]]/DataTable[[#This Row],[COGS]]*100&gt;20,"Achived","Not Achived")</f>
        <v>Achived</v>
      </c>
      <c r="P511" s="25">
        <f>DataTable[[#This Row],[Profit]]/DataTable[[#This Row],[COGS]]</f>
        <v>0.41</v>
      </c>
      <c r="Q511">
        <f>DataTable[[#This Row],[Manufacturing Price]]*DataTable[[#This Row],[Units Sold]]</f>
        <v>6090</v>
      </c>
      <c r="R511" s="26">
        <f>DataTable[[#This Row],[COGS]]-DataTable[[#This Row],[MC_US]]</f>
        <v>14210</v>
      </c>
      <c r="S511" s="26">
        <f>IF(DataTable[[#This Row],[COGS-MC_US]]&gt;=0,DataTable[[#This Row],[Manufacturing Price]],DataTable[[#This Row],[COGS]]/DataTable[[#This Row],[Units Sold]])</f>
        <v>3</v>
      </c>
    </row>
    <row r="512" spans="1:19" ht="12.75" hidden="1" x14ac:dyDescent="0.2">
      <c r="A512" s="20">
        <v>41852</v>
      </c>
      <c r="B512" t="s">
        <v>395</v>
      </c>
      <c r="C512" t="s">
        <v>390</v>
      </c>
      <c r="D512" t="s">
        <v>359</v>
      </c>
      <c r="E512" t="str">
        <f>VLOOKUP(DataTable[[#This Row],[Country]],Market!B:C,2,FALSE)</f>
        <v>North America</v>
      </c>
      <c r="F512" s="24">
        <v>10</v>
      </c>
      <c r="G512" s="24">
        <v>21980</v>
      </c>
      <c r="H512" s="24">
        <v>15</v>
      </c>
      <c r="I512" s="27">
        <v>2198</v>
      </c>
      <c r="J512" s="24">
        <v>32970</v>
      </c>
      <c r="K512" s="24">
        <v>1978.2</v>
      </c>
      <c r="L512" s="1" t="s">
        <v>124</v>
      </c>
      <c r="M512" s="24">
        <v>30991.8</v>
      </c>
      <c r="N512" s="24">
        <f t="shared" si="7"/>
        <v>9011.7999999999993</v>
      </c>
      <c r="O512" t="str">
        <f>IF(DataTable[[#This Row],[Profit]]/DataTable[[#This Row],[COGS]]*100&gt;20,"Achived","Not Achived")</f>
        <v>Achived</v>
      </c>
      <c r="P512" s="25">
        <f>DataTable[[#This Row],[Profit]]/DataTable[[#This Row],[COGS]]</f>
        <v>0.41</v>
      </c>
      <c r="Q512">
        <f>DataTable[[#This Row],[Manufacturing Price]]*DataTable[[#This Row],[Units Sold]]</f>
        <v>21980</v>
      </c>
      <c r="R512" s="26">
        <f>DataTable[[#This Row],[COGS]]-DataTable[[#This Row],[MC_US]]</f>
        <v>0</v>
      </c>
      <c r="S512" s="26">
        <f>IF(DataTable[[#This Row],[COGS-MC_US]]&gt;=0,DataTable[[#This Row],[Manufacturing Price]],DataTable[[#This Row],[COGS]]/DataTable[[#This Row],[Units Sold]])</f>
        <v>10</v>
      </c>
    </row>
    <row r="513" spans="1:19" ht="12.75" hidden="1" x14ac:dyDescent="0.2">
      <c r="A513" s="20">
        <v>41913</v>
      </c>
      <c r="B513" t="s">
        <v>395</v>
      </c>
      <c r="C513" t="s">
        <v>390</v>
      </c>
      <c r="D513" t="s">
        <v>359</v>
      </c>
      <c r="E513" t="str">
        <f>VLOOKUP(DataTable[[#This Row],[Country]],Market!B:C,2,FALSE)</f>
        <v>North America</v>
      </c>
      <c r="F513" s="24">
        <v>10</v>
      </c>
      <c r="G513" s="24">
        <v>11530</v>
      </c>
      <c r="H513" s="24">
        <v>15</v>
      </c>
      <c r="I513" s="27">
        <v>1153</v>
      </c>
      <c r="J513" s="24">
        <v>17295</v>
      </c>
      <c r="K513" s="24">
        <v>1037.7</v>
      </c>
      <c r="L513" s="1" t="s">
        <v>124</v>
      </c>
      <c r="M513" s="24">
        <v>16257.3</v>
      </c>
      <c r="N513" s="24">
        <f t="shared" si="7"/>
        <v>4727.2999999999993</v>
      </c>
      <c r="O513" t="str">
        <f>IF(DataTable[[#This Row],[Profit]]/DataTable[[#This Row],[COGS]]*100&gt;20,"Achived","Not Achived")</f>
        <v>Achived</v>
      </c>
      <c r="P513" s="25">
        <f>DataTable[[#This Row],[Profit]]/DataTable[[#This Row],[COGS]]</f>
        <v>0.40999999999999992</v>
      </c>
      <c r="Q513">
        <f>DataTable[[#This Row],[Manufacturing Price]]*DataTable[[#This Row],[Units Sold]]</f>
        <v>11530</v>
      </c>
      <c r="R513" s="26">
        <f>DataTable[[#This Row],[COGS]]-DataTable[[#This Row],[MC_US]]</f>
        <v>0</v>
      </c>
      <c r="S513" s="26">
        <f>IF(DataTable[[#This Row],[COGS-MC_US]]&gt;=0,DataTable[[#This Row],[Manufacturing Price]],DataTable[[#This Row],[COGS]]/DataTable[[#This Row],[Units Sold]])</f>
        <v>10</v>
      </c>
    </row>
    <row r="514" spans="1:19" ht="12.75" hidden="1" x14ac:dyDescent="0.2">
      <c r="A514" s="20">
        <v>41913</v>
      </c>
      <c r="B514" t="s">
        <v>397</v>
      </c>
      <c r="C514" t="s">
        <v>390</v>
      </c>
      <c r="D514" t="s">
        <v>359</v>
      </c>
      <c r="E514" t="str">
        <f>VLOOKUP(DataTable[[#This Row],[Country]],Market!B:C,2,FALSE)</f>
        <v>North America</v>
      </c>
      <c r="F514" s="24">
        <v>250</v>
      </c>
      <c r="G514" s="24">
        <v>11530</v>
      </c>
      <c r="H514" s="24">
        <v>15</v>
      </c>
      <c r="I514" s="27">
        <v>1153</v>
      </c>
      <c r="J514" s="24">
        <v>17295</v>
      </c>
      <c r="K514" s="24">
        <v>1037.7</v>
      </c>
      <c r="L514" s="1" t="s">
        <v>124</v>
      </c>
      <c r="M514" s="24">
        <v>16257.3</v>
      </c>
      <c r="N514" s="24">
        <f t="shared" si="7"/>
        <v>4727.2999999999993</v>
      </c>
      <c r="O514" t="str">
        <f>IF(DataTable[[#This Row],[Profit]]/DataTable[[#This Row],[COGS]]*100&gt;20,"Achived","Not Achived")</f>
        <v>Achived</v>
      </c>
      <c r="P514" s="25">
        <f>DataTable[[#This Row],[Profit]]/DataTable[[#This Row],[COGS]]</f>
        <v>0.40999999999999992</v>
      </c>
      <c r="Q514">
        <f>DataTable[[#This Row],[Manufacturing Price]]*DataTable[[#This Row],[Units Sold]]</f>
        <v>288250</v>
      </c>
      <c r="R514" s="26">
        <f>DataTable[[#This Row],[COGS]]-DataTable[[#This Row],[MC_US]]</f>
        <v>-276720</v>
      </c>
      <c r="S514" s="26">
        <f>IF(DataTable[[#This Row],[COGS-MC_US]]&gt;=0,DataTable[[#This Row],[Manufacturing Price]],DataTable[[#This Row],[COGS]]/DataTable[[#This Row],[Units Sold]])</f>
        <v>10</v>
      </c>
    </row>
    <row r="515" spans="1:19" ht="12.75" hidden="1" x14ac:dyDescent="0.2">
      <c r="A515" s="20">
        <v>41518</v>
      </c>
      <c r="B515" t="s">
        <v>395</v>
      </c>
      <c r="C515" t="s">
        <v>390</v>
      </c>
      <c r="D515" t="s">
        <v>359</v>
      </c>
      <c r="E515" t="str">
        <f>VLOOKUP(DataTable[[#This Row],[Country]],Market!B:C,2,FALSE)</f>
        <v>North America</v>
      </c>
      <c r="F515" s="24">
        <v>10</v>
      </c>
      <c r="G515" s="24">
        <v>29310</v>
      </c>
      <c r="H515" s="24">
        <v>15</v>
      </c>
      <c r="I515" s="27">
        <v>2931</v>
      </c>
      <c r="J515" s="24">
        <v>43965</v>
      </c>
      <c r="K515" s="24">
        <v>3077.55</v>
      </c>
      <c r="L515" s="1" t="s">
        <v>124</v>
      </c>
      <c r="M515" s="24">
        <v>40887.449999999997</v>
      </c>
      <c r="N515" s="24">
        <f t="shared" si="7"/>
        <v>11577.449999999997</v>
      </c>
      <c r="O515" t="str">
        <f>IF(DataTable[[#This Row],[Profit]]/DataTable[[#This Row],[COGS]]*100&gt;20,"Achived","Not Achived")</f>
        <v>Achived</v>
      </c>
      <c r="P515" s="25">
        <f>DataTable[[#This Row],[Profit]]/DataTable[[#This Row],[COGS]]</f>
        <v>0.39499999999999991</v>
      </c>
      <c r="Q515">
        <f>DataTable[[#This Row],[Manufacturing Price]]*DataTable[[#This Row],[Units Sold]]</f>
        <v>29310</v>
      </c>
      <c r="R515" s="26">
        <f>DataTable[[#This Row],[COGS]]-DataTable[[#This Row],[MC_US]]</f>
        <v>0</v>
      </c>
      <c r="S515" s="26">
        <f>IF(DataTable[[#This Row],[COGS-MC_US]]&gt;=0,DataTable[[#This Row],[Manufacturing Price]],DataTable[[#This Row],[COGS]]/DataTable[[#This Row],[Units Sold]])</f>
        <v>10</v>
      </c>
    </row>
    <row r="516" spans="1:19" ht="12.75" hidden="1" x14ac:dyDescent="0.2">
      <c r="A516" s="20">
        <v>41730</v>
      </c>
      <c r="B516" t="s">
        <v>395</v>
      </c>
      <c r="C516" t="s">
        <v>390</v>
      </c>
      <c r="D516" t="s">
        <v>359</v>
      </c>
      <c r="E516" t="str">
        <f>VLOOKUP(DataTable[[#This Row],[Country]],Market!B:C,2,FALSE)</f>
        <v>North America</v>
      </c>
      <c r="F516" s="24">
        <v>10</v>
      </c>
      <c r="G516" s="24">
        <v>36750</v>
      </c>
      <c r="H516" s="24">
        <v>15</v>
      </c>
      <c r="I516" s="27">
        <v>3675</v>
      </c>
      <c r="J516" s="24">
        <v>55125</v>
      </c>
      <c r="K516" s="24">
        <v>4961.25</v>
      </c>
      <c r="L516" s="1" t="s">
        <v>124</v>
      </c>
      <c r="M516" s="24">
        <v>50163.75</v>
      </c>
      <c r="N516" s="24">
        <f t="shared" ref="N516:N579" si="8">M516-G516</f>
        <v>13413.75</v>
      </c>
      <c r="O516" t="str">
        <f>IF(DataTable[[#This Row],[Profit]]/DataTable[[#This Row],[COGS]]*100&gt;20,"Achived","Not Achived")</f>
        <v>Achived</v>
      </c>
      <c r="P516" s="25">
        <f>DataTable[[#This Row],[Profit]]/DataTable[[#This Row],[COGS]]</f>
        <v>0.36499999999999999</v>
      </c>
      <c r="Q516">
        <f>DataTable[[#This Row],[Manufacturing Price]]*DataTable[[#This Row],[Units Sold]]</f>
        <v>36750</v>
      </c>
      <c r="R516" s="26">
        <f>DataTable[[#This Row],[COGS]]-DataTable[[#This Row],[MC_US]]</f>
        <v>0</v>
      </c>
      <c r="S516" s="26">
        <f>IF(DataTable[[#This Row],[COGS-MC_US]]&gt;=0,DataTable[[#This Row],[Manufacturing Price]],DataTable[[#This Row],[COGS]]/DataTable[[#This Row],[Units Sold]])</f>
        <v>10</v>
      </c>
    </row>
    <row r="517" spans="1:19" ht="12.75" x14ac:dyDescent="0.2">
      <c r="A517" s="20">
        <v>41760</v>
      </c>
      <c r="B517" t="s">
        <v>396</v>
      </c>
      <c r="C517" t="s">
        <v>390</v>
      </c>
      <c r="D517" t="s">
        <v>359</v>
      </c>
      <c r="E517" t="str">
        <f>VLOOKUP(DataTable[[#This Row],[Country]],Market!B:C,2,FALSE)</f>
        <v>North America</v>
      </c>
      <c r="F517" s="24">
        <v>120</v>
      </c>
      <c r="G517" s="24">
        <v>7900</v>
      </c>
      <c r="H517" s="24">
        <v>15</v>
      </c>
      <c r="I517" s="27">
        <v>790</v>
      </c>
      <c r="J517" s="24">
        <v>11850</v>
      </c>
      <c r="K517" s="24">
        <v>1185</v>
      </c>
      <c r="L517" s="1" t="s">
        <v>158</v>
      </c>
      <c r="M517" s="24">
        <v>10665</v>
      </c>
      <c r="N517" s="24">
        <f t="shared" si="8"/>
        <v>2765</v>
      </c>
      <c r="O517" t="str">
        <f>IF(DataTable[[#This Row],[Profit]]/DataTable[[#This Row],[COGS]]*100&gt;20,"Achived","Not Achived")</f>
        <v>Achived</v>
      </c>
      <c r="P517" s="25">
        <f>DataTable[[#This Row],[Profit]]/DataTable[[#This Row],[COGS]]</f>
        <v>0.35</v>
      </c>
      <c r="Q517">
        <f>DataTable[[#This Row],[Manufacturing Price]]*DataTable[[#This Row],[Units Sold]]</f>
        <v>94800</v>
      </c>
      <c r="R517" s="26">
        <f>DataTable[[#This Row],[COGS]]-DataTable[[#This Row],[MC_US]]</f>
        <v>-86900</v>
      </c>
      <c r="S517" s="26">
        <f>IF(DataTable[[#This Row],[COGS-MC_US]]&gt;=0,DataTable[[#This Row],[Manufacturing Price]],DataTable[[#This Row],[COGS]]/DataTable[[#This Row],[Units Sold]])</f>
        <v>10</v>
      </c>
    </row>
    <row r="518" spans="1:19" ht="12.75" x14ac:dyDescent="0.2">
      <c r="A518" s="20">
        <v>41821</v>
      </c>
      <c r="B518" t="s">
        <v>398</v>
      </c>
      <c r="C518" t="s">
        <v>390</v>
      </c>
      <c r="D518" t="s">
        <v>359</v>
      </c>
      <c r="E518" t="str">
        <f>VLOOKUP(DataTable[[#This Row],[Country]],Market!B:C,2,FALSE)</f>
        <v>North America</v>
      </c>
      <c r="F518" s="24">
        <v>260</v>
      </c>
      <c r="G518" s="24">
        <v>31995</v>
      </c>
      <c r="H518" s="24">
        <v>15</v>
      </c>
      <c r="I518" s="27">
        <v>3199.5</v>
      </c>
      <c r="J518" s="24">
        <v>47992.5</v>
      </c>
      <c r="K518" s="24">
        <v>5279.18</v>
      </c>
      <c r="L518" s="1" t="s">
        <v>158</v>
      </c>
      <c r="M518" s="24">
        <v>42713.33</v>
      </c>
      <c r="N518" s="24">
        <f t="shared" si="8"/>
        <v>10718.330000000002</v>
      </c>
      <c r="O518" t="str">
        <f>IF(DataTable[[#This Row],[Profit]]/DataTable[[#This Row],[COGS]]*100&gt;20,"Achived","Not Achived")</f>
        <v>Achived</v>
      </c>
      <c r="P518" s="25">
        <f>DataTable[[#This Row],[Profit]]/DataTable[[#This Row],[COGS]]</f>
        <v>0.33500015627441793</v>
      </c>
      <c r="Q518">
        <f>DataTable[[#This Row],[Manufacturing Price]]*DataTable[[#This Row],[Units Sold]]</f>
        <v>831870</v>
      </c>
      <c r="R518" s="26">
        <f>DataTable[[#This Row],[COGS]]-DataTable[[#This Row],[MC_US]]</f>
        <v>-799875</v>
      </c>
      <c r="S518" s="26">
        <f>IF(DataTable[[#This Row],[COGS-MC_US]]&gt;=0,DataTable[[#This Row],[Manufacturing Price]],DataTable[[#This Row],[COGS]]/DataTable[[#This Row],[Units Sold]])</f>
        <v>10</v>
      </c>
    </row>
    <row r="519" spans="1:19" ht="12.75" x14ac:dyDescent="0.2">
      <c r="A519" s="20">
        <v>41699</v>
      </c>
      <c r="B519" t="s">
        <v>391</v>
      </c>
      <c r="C519" t="s">
        <v>390</v>
      </c>
      <c r="D519" t="s">
        <v>359</v>
      </c>
      <c r="E519" t="str">
        <f>VLOOKUP(DataTable[[#This Row],[Country]],Market!B:C,2,FALSE)</f>
        <v>North America</v>
      </c>
      <c r="F519" s="24">
        <v>5</v>
      </c>
      <c r="G519" s="24">
        <v>6770</v>
      </c>
      <c r="H519" s="24">
        <v>15</v>
      </c>
      <c r="I519" s="27">
        <v>677</v>
      </c>
      <c r="J519" s="24">
        <v>10155</v>
      </c>
      <c r="K519" s="24">
        <v>1218.5999999999999</v>
      </c>
      <c r="L519" s="1" t="s">
        <v>158</v>
      </c>
      <c r="M519" s="24">
        <v>8936.4</v>
      </c>
      <c r="N519" s="24">
        <f t="shared" si="8"/>
        <v>2166.3999999999996</v>
      </c>
      <c r="O519" t="str">
        <f>IF(DataTable[[#This Row],[Profit]]/DataTable[[#This Row],[COGS]]*100&gt;20,"Achived","Not Achived")</f>
        <v>Achived</v>
      </c>
      <c r="P519" s="25">
        <f>DataTable[[#This Row],[Profit]]/DataTable[[#This Row],[COGS]]</f>
        <v>0.31999999999999995</v>
      </c>
      <c r="Q519">
        <f>DataTable[[#This Row],[Manufacturing Price]]*DataTable[[#This Row],[Units Sold]]</f>
        <v>3385</v>
      </c>
      <c r="R519" s="26">
        <f>DataTable[[#This Row],[COGS]]-DataTable[[#This Row],[MC_US]]</f>
        <v>3385</v>
      </c>
      <c r="S519" s="26">
        <f>IF(DataTable[[#This Row],[COGS-MC_US]]&gt;=0,DataTable[[#This Row],[Manufacturing Price]],DataTable[[#This Row],[COGS]]/DataTable[[#This Row],[Units Sold]])</f>
        <v>5</v>
      </c>
    </row>
    <row r="520" spans="1:19" ht="12.75" x14ac:dyDescent="0.2">
      <c r="A520" s="20">
        <v>41579</v>
      </c>
      <c r="B520" t="s">
        <v>398</v>
      </c>
      <c r="C520" t="s">
        <v>390</v>
      </c>
      <c r="D520" t="s">
        <v>359</v>
      </c>
      <c r="E520" t="str">
        <f>VLOOKUP(DataTable[[#This Row],[Country]],Market!B:C,2,FALSE)</f>
        <v>North America</v>
      </c>
      <c r="F520" s="24">
        <v>260</v>
      </c>
      <c r="G520" s="24">
        <v>25480</v>
      </c>
      <c r="H520" s="24">
        <v>15</v>
      </c>
      <c r="I520" s="27">
        <v>2548</v>
      </c>
      <c r="J520" s="24">
        <v>38220</v>
      </c>
      <c r="K520" s="24">
        <v>4586.3999999999996</v>
      </c>
      <c r="L520" s="1" t="s">
        <v>158</v>
      </c>
      <c r="M520" s="24">
        <v>33633.599999999999</v>
      </c>
      <c r="N520" s="24">
        <f t="shared" si="8"/>
        <v>8153.5999999999985</v>
      </c>
      <c r="O520" t="str">
        <f>IF(DataTable[[#This Row],[Profit]]/DataTable[[#This Row],[COGS]]*100&gt;20,"Achived","Not Achived")</f>
        <v>Achived</v>
      </c>
      <c r="P520" s="25">
        <f>DataTable[[#This Row],[Profit]]/DataTable[[#This Row],[COGS]]</f>
        <v>0.31999999999999995</v>
      </c>
      <c r="Q520">
        <f>DataTable[[#This Row],[Manufacturing Price]]*DataTable[[#This Row],[Units Sold]]</f>
        <v>662480</v>
      </c>
      <c r="R520" s="26">
        <f>DataTable[[#This Row],[COGS]]-DataTable[[#This Row],[MC_US]]</f>
        <v>-637000</v>
      </c>
      <c r="S520" s="26">
        <f>IF(DataTable[[#This Row],[COGS-MC_US]]&gt;=0,DataTable[[#This Row],[Manufacturing Price]],DataTable[[#This Row],[COGS]]/DataTable[[#This Row],[Units Sold]])</f>
        <v>10</v>
      </c>
    </row>
    <row r="521" spans="1:19" ht="12.75" x14ac:dyDescent="0.2">
      <c r="A521" s="20">
        <v>41791</v>
      </c>
      <c r="B521" t="s">
        <v>389</v>
      </c>
      <c r="C521" t="s">
        <v>390</v>
      </c>
      <c r="D521" t="s">
        <v>359</v>
      </c>
      <c r="E521" t="str">
        <f>VLOOKUP(DataTable[[#This Row],[Country]],Market!B:C,2,FALSE)</f>
        <v>North America</v>
      </c>
      <c r="F521" s="24">
        <v>3</v>
      </c>
      <c r="G521" s="24">
        <v>25670</v>
      </c>
      <c r="H521" s="24">
        <v>15</v>
      </c>
      <c r="I521" s="27">
        <v>2567</v>
      </c>
      <c r="J521" s="24">
        <v>38505</v>
      </c>
      <c r="K521" s="24">
        <v>5005.6499999999996</v>
      </c>
      <c r="L521" s="1" t="s">
        <v>158</v>
      </c>
      <c r="M521" s="24">
        <v>33499.35</v>
      </c>
      <c r="N521" s="24">
        <f t="shared" si="8"/>
        <v>7829.3499999999985</v>
      </c>
      <c r="O521" t="str">
        <f>IF(DataTable[[#This Row],[Profit]]/DataTable[[#This Row],[COGS]]*100&gt;20,"Achived","Not Achived")</f>
        <v>Achived</v>
      </c>
      <c r="P521" s="25">
        <f>DataTable[[#This Row],[Profit]]/DataTable[[#This Row],[COGS]]</f>
        <v>0.30499999999999994</v>
      </c>
      <c r="Q521">
        <f>DataTable[[#This Row],[Manufacturing Price]]*DataTable[[#This Row],[Units Sold]]</f>
        <v>7701</v>
      </c>
      <c r="R521" s="26">
        <f>DataTable[[#This Row],[COGS]]-DataTable[[#This Row],[MC_US]]</f>
        <v>17969</v>
      </c>
      <c r="S521" s="26">
        <f>IF(DataTable[[#This Row],[COGS-MC_US]]&gt;=0,DataTable[[#This Row],[Manufacturing Price]],DataTable[[#This Row],[COGS]]/DataTable[[#This Row],[Units Sold]])</f>
        <v>3</v>
      </c>
    </row>
    <row r="522" spans="1:19" ht="12.75" x14ac:dyDescent="0.2">
      <c r="A522" s="20">
        <v>41791</v>
      </c>
      <c r="B522" t="s">
        <v>397</v>
      </c>
      <c r="C522" t="s">
        <v>390</v>
      </c>
      <c r="D522" t="s">
        <v>359</v>
      </c>
      <c r="E522" t="str">
        <f>VLOOKUP(DataTable[[#This Row],[Country]],Market!B:C,2,FALSE)</f>
        <v>North America</v>
      </c>
      <c r="F522" s="24">
        <v>250</v>
      </c>
      <c r="G522" s="24">
        <v>25670</v>
      </c>
      <c r="H522" s="24">
        <v>15</v>
      </c>
      <c r="I522" s="27">
        <v>2567</v>
      </c>
      <c r="J522" s="24">
        <v>38505</v>
      </c>
      <c r="K522" s="24">
        <v>5005.6499999999996</v>
      </c>
      <c r="L522" s="1" t="s">
        <v>158</v>
      </c>
      <c r="M522" s="24">
        <v>33499.35</v>
      </c>
      <c r="N522" s="24">
        <f t="shared" si="8"/>
        <v>7829.3499999999985</v>
      </c>
      <c r="O522" t="str">
        <f>IF(DataTable[[#This Row],[Profit]]/DataTable[[#This Row],[COGS]]*100&gt;20,"Achived","Not Achived")</f>
        <v>Achived</v>
      </c>
      <c r="P522" s="25">
        <f>DataTable[[#This Row],[Profit]]/DataTable[[#This Row],[COGS]]</f>
        <v>0.30499999999999994</v>
      </c>
      <c r="Q522">
        <f>DataTable[[#This Row],[Manufacturing Price]]*DataTable[[#This Row],[Units Sold]]</f>
        <v>641750</v>
      </c>
      <c r="R522" s="26">
        <f>DataTable[[#This Row],[COGS]]-DataTable[[#This Row],[MC_US]]</f>
        <v>-616080</v>
      </c>
      <c r="S522" s="26">
        <f>IF(DataTable[[#This Row],[COGS-MC_US]]&gt;=0,DataTable[[#This Row],[Manufacturing Price]],DataTable[[#This Row],[COGS]]/DataTable[[#This Row],[Units Sold]])</f>
        <v>10</v>
      </c>
    </row>
    <row r="523" spans="1:19" ht="12.75" x14ac:dyDescent="0.2">
      <c r="A523" s="20">
        <v>41883</v>
      </c>
      <c r="B523" t="s">
        <v>395</v>
      </c>
      <c r="C523" t="s">
        <v>390</v>
      </c>
      <c r="D523" t="s">
        <v>359</v>
      </c>
      <c r="E523" t="str">
        <f>VLOOKUP(DataTable[[#This Row],[Country]],Market!B:C,2,FALSE)</f>
        <v>North America</v>
      </c>
      <c r="F523" s="24">
        <v>10</v>
      </c>
      <c r="G523" s="24">
        <v>17670</v>
      </c>
      <c r="H523" s="24">
        <v>15</v>
      </c>
      <c r="I523" s="27">
        <v>1767</v>
      </c>
      <c r="J523" s="24">
        <v>26505</v>
      </c>
      <c r="K523" s="24">
        <v>3710.7</v>
      </c>
      <c r="L523" s="1" t="s">
        <v>158</v>
      </c>
      <c r="M523" s="24">
        <v>22794.3</v>
      </c>
      <c r="N523" s="24">
        <f t="shared" si="8"/>
        <v>5124.2999999999993</v>
      </c>
      <c r="O523" t="str">
        <f>IF(DataTable[[#This Row],[Profit]]/DataTable[[#This Row],[COGS]]*100&gt;20,"Achived","Not Achived")</f>
        <v>Achived</v>
      </c>
      <c r="P523" s="25">
        <f>DataTable[[#This Row],[Profit]]/DataTable[[#This Row],[COGS]]</f>
        <v>0.28999999999999998</v>
      </c>
      <c r="Q523">
        <f>DataTable[[#This Row],[Manufacturing Price]]*DataTable[[#This Row],[Units Sold]]</f>
        <v>17670</v>
      </c>
      <c r="R523" s="26">
        <f>DataTable[[#This Row],[COGS]]-DataTable[[#This Row],[MC_US]]</f>
        <v>0</v>
      </c>
      <c r="S523" s="26">
        <f>IF(DataTable[[#This Row],[COGS-MC_US]]&gt;=0,DataTable[[#This Row],[Manufacturing Price]],DataTable[[#This Row],[COGS]]/DataTable[[#This Row],[Units Sold]])</f>
        <v>10</v>
      </c>
    </row>
    <row r="524" spans="1:19" ht="12.75" hidden="1" x14ac:dyDescent="0.2">
      <c r="A524" s="20">
        <v>41791</v>
      </c>
      <c r="B524" t="s">
        <v>389</v>
      </c>
      <c r="C524" t="s">
        <v>390</v>
      </c>
      <c r="D524" t="s">
        <v>352</v>
      </c>
      <c r="E524" t="str">
        <f>VLOOKUP(DataTable[[#This Row],[Country]],Market!B:C,2,FALSE)</f>
        <v>North America</v>
      </c>
      <c r="F524" s="24">
        <v>3</v>
      </c>
      <c r="G524" s="24">
        <v>24700</v>
      </c>
      <c r="H524" s="24">
        <v>15</v>
      </c>
      <c r="I524" s="27">
        <v>2470</v>
      </c>
      <c r="J524" s="24">
        <v>37050</v>
      </c>
      <c r="K524" s="24">
        <v>0</v>
      </c>
      <c r="L524" s="1" t="s">
        <v>12</v>
      </c>
      <c r="M524" s="24">
        <v>37050</v>
      </c>
      <c r="N524" s="24">
        <f t="shared" si="8"/>
        <v>12350</v>
      </c>
      <c r="O524" t="str">
        <f>IF(DataTable[[#This Row],[Profit]]/DataTable[[#This Row],[COGS]]*100&gt;20,"Achived","Not Achived")</f>
        <v>Achived</v>
      </c>
      <c r="P524" s="25">
        <f>DataTable[[#This Row],[Profit]]/DataTable[[#This Row],[COGS]]</f>
        <v>0.5</v>
      </c>
      <c r="Q524">
        <f>DataTable[[#This Row],[Manufacturing Price]]*DataTable[[#This Row],[Units Sold]]</f>
        <v>7410</v>
      </c>
      <c r="R524" s="26">
        <f>DataTable[[#This Row],[COGS]]-DataTable[[#This Row],[MC_US]]</f>
        <v>17290</v>
      </c>
      <c r="S524" s="26">
        <f>IF(DataTable[[#This Row],[COGS-MC_US]]&gt;=0,DataTable[[#This Row],[Manufacturing Price]],DataTable[[#This Row],[COGS]]/DataTable[[#This Row],[Units Sold]])</f>
        <v>3</v>
      </c>
    </row>
    <row r="525" spans="1:19" ht="12.75" hidden="1" x14ac:dyDescent="0.2">
      <c r="A525" s="20">
        <v>41791</v>
      </c>
      <c r="B525" t="s">
        <v>391</v>
      </c>
      <c r="C525" t="s">
        <v>390</v>
      </c>
      <c r="D525" t="s">
        <v>352</v>
      </c>
      <c r="E525" t="str">
        <f>VLOOKUP(DataTable[[#This Row],[Country]],Market!B:C,2,FALSE)</f>
        <v>North America</v>
      </c>
      <c r="F525" s="24">
        <v>5</v>
      </c>
      <c r="G525" s="24">
        <v>24700</v>
      </c>
      <c r="H525" s="24">
        <v>15</v>
      </c>
      <c r="I525" s="27">
        <v>2470</v>
      </c>
      <c r="J525" s="24">
        <v>37050</v>
      </c>
      <c r="K525" s="24">
        <v>0</v>
      </c>
      <c r="L525" s="1" t="s">
        <v>12</v>
      </c>
      <c r="M525" s="24">
        <v>37050</v>
      </c>
      <c r="N525" s="24">
        <f t="shared" si="8"/>
        <v>12350</v>
      </c>
      <c r="O525" t="str">
        <f>IF(DataTable[[#This Row],[Profit]]/DataTable[[#This Row],[COGS]]*100&gt;20,"Achived","Not Achived")</f>
        <v>Achived</v>
      </c>
      <c r="P525" s="25">
        <f>DataTable[[#This Row],[Profit]]/DataTable[[#This Row],[COGS]]</f>
        <v>0.5</v>
      </c>
      <c r="Q525">
        <f>DataTable[[#This Row],[Manufacturing Price]]*DataTable[[#This Row],[Units Sold]]</f>
        <v>12350</v>
      </c>
      <c r="R525" s="26">
        <f>DataTable[[#This Row],[COGS]]-DataTable[[#This Row],[MC_US]]</f>
        <v>12350</v>
      </c>
      <c r="S525" s="26">
        <f>IF(DataTable[[#This Row],[COGS-MC_US]]&gt;=0,DataTable[[#This Row],[Manufacturing Price]],DataTable[[#This Row],[COGS]]/DataTable[[#This Row],[Units Sold]])</f>
        <v>5</v>
      </c>
    </row>
    <row r="526" spans="1:19" ht="12.75" hidden="1" x14ac:dyDescent="0.2">
      <c r="A526" s="20">
        <v>41671</v>
      </c>
      <c r="B526" t="s">
        <v>395</v>
      </c>
      <c r="C526" t="s">
        <v>390</v>
      </c>
      <c r="D526" t="s">
        <v>352</v>
      </c>
      <c r="E526" t="str">
        <f>VLOOKUP(DataTable[[#This Row],[Country]],Market!B:C,2,FALSE)</f>
        <v>North America</v>
      </c>
      <c r="F526" s="24">
        <v>10</v>
      </c>
      <c r="G526" s="24">
        <v>9740</v>
      </c>
      <c r="H526" s="24">
        <v>15</v>
      </c>
      <c r="I526" s="27">
        <v>974</v>
      </c>
      <c r="J526" s="24">
        <v>14610</v>
      </c>
      <c r="K526" s="24">
        <v>0</v>
      </c>
      <c r="L526" s="1" t="s">
        <v>12</v>
      </c>
      <c r="M526" s="24">
        <v>14610</v>
      </c>
      <c r="N526" s="24">
        <f t="shared" si="8"/>
        <v>4870</v>
      </c>
      <c r="O526" t="str">
        <f>IF(DataTable[[#This Row],[Profit]]/DataTable[[#This Row],[COGS]]*100&gt;20,"Achived","Not Achived")</f>
        <v>Achived</v>
      </c>
      <c r="P526" s="25">
        <f>DataTable[[#This Row],[Profit]]/DataTable[[#This Row],[COGS]]</f>
        <v>0.5</v>
      </c>
      <c r="Q526">
        <f>DataTable[[#This Row],[Manufacturing Price]]*DataTable[[#This Row],[Units Sold]]</f>
        <v>9740</v>
      </c>
      <c r="R526" s="26">
        <f>DataTable[[#This Row],[COGS]]-DataTable[[#This Row],[MC_US]]</f>
        <v>0</v>
      </c>
      <c r="S526" s="26">
        <f>IF(DataTable[[#This Row],[COGS-MC_US]]&gt;=0,DataTable[[#This Row],[Manufacturing Price]],DataTable[[#This Row],[COGS]]/DataTable[[#This Row],[Units Sold]])</f>
        <v>10</v>
      </c>
    </row>
    <row r="527" spans="1:19" ht="12.75" hidden="1" x14ac:dyDescent="0.2">
      <c r="A527" s="20">
        <v>41883</v>
      </c>
      <c r="B527" t="s">
        <v>395</v>
      </c>
      <c r="C527" t="s">
        <v>390</v>
      </c>
      <c r="D527" t="s">
        <v>352</v>
      </c>
      <c r="E527" t="str">
        <f>VLOOKUP(DataTable[[#This Row],[Country]],Market!B:C,2,FALSE)</f>
        <v>North America</v>
      </c>
      <c r="F527" s="24">
        <v>10</v>
      </c>
      <c r="G527" s="24">
        <v>24720</v>
      </c>
      <c r="H527" s="24">
        <v>15</v>
      </c>
      <c r="I527" s="27">
        <v>2472</v>
      </c>
      <c r="J527" s="24">
        <v>37080</v>
      </c>
      <c r="K527" s="24">
        <v>0</v>
      </c>
      <c r="L527" s="1" t="s">
        <v>12</v>
      </c>
      <c r="M527" s="24">
        <v>37080</v>
      </c>
      <c r="N527" s="24">
        <f t="shared" si="8"/>
        <v>12360</v>
      </c>
      <c r="O527" t="str">
        <f>IF(DataTable[[#This Row],[Profit]]/DataTable[[#This Row],[COGS]]*100&gt;20,"Achived","Not Achived")</f>
        <v>Achived</v>
      </c>
      <c r="P527" s="25">
        <f>DataTable[[#This Row],[Profit]]/DataTable[[#This Row],[COGS]]</f>
        <v>0.5</v>
      </c>
      <c r="Q527">
        <f>DataTable[[#This Row],[Manufacturing Price]]*DataTable[[#This Row],[Units Sold]]</f>
        <v>24720</v>
      </c>
      <c r="R527" s="26">
        <f>DataTable[[#This Row],[COGS]]-DataTable[[#This Row],[MC_US]]</f>
        <v>0</v>
      </c>
      <c r="S527" s="26">
        <f>IF(DataTable[[#This Row],[COGS-MC_US]]&gt;=0,DataTable[[#This Row],[Manufacturing Price]],DataTable[[#This Row],[COGS]]/DataTable[[#This Row],[Units Sold]])</f>
        <v>10</v>
      </c>
    </row>
    <row r="528" spans="1:19" ht="12.75" hidden="1" x14ac:dyDescent="0.2">
      <c r="A528" s="20">
        <v>41699</v>
      </c>
      <c r="B528" t="s">
        <v>391</v>
      </c>
      <c r="C528" t="s">
        <v>390</v>
      </c>
      <c r="D528" t="s">
        <v>352</v>
      </c>
      <c r="E528" t="str">
        <f>VLOOKUP(DataTable[[#This Row],[Country]],Market!B:C,2,FALSE)</f>
        <v>North America</v>
      </c>
      <c r="F528" s="24">
        <v>5</v>
      </c>
      <c r="G528" s="24">
        <v>22140</v>
      </c>
      <c r="H528" s="24">
        <v>15</v>
      </c>
      <c r="I528" s="27">
        <v>2214</v>
      </c>
      <c r="J528" s="24">
        <v>33210</v>
      </c>
      <c r="K528" s="24">
        <v>332.1</v>
      </c>
      <c r="L528" s="1" t="s">
        <v>57</v>
      </c>
      <c r="M528" s="24">
        <v>32877.9</v>
      </c>
      <c r="N528" s="24">
        <f t="shared" si="8"/>
        <v>10737.900000000001</v>
      </c>
      <c r="O528" t="str">
        <f>IF(DataTable[[#This Row],[Profit]]/DataTable[[#This Row],[COGS]]*100&gt;20,"Achived","Not Achived")</f>
        <v>Achived</v>
      </c>
      <c r="P528" s="25">
        <f>DataTable[[#This Row],[Profit]]/DataTable[[#This Row],[COGS]]</f>
        <v>0.48500000000000004</v>
      </c>
      <c r="Q528">
        <f>DataTable[[#This Row],[Manufacturing Price]]*DataTable[[#This Row],[Units Sold]]</f>
        <v>11070</v>
      </c>
      <c r="R528" s="26">
        <f>DataTable[[#This Row],[COGS]]-DataTable[[#This Row],[MC_US]]</f>
        <v>11070</v>
      </c>
      <c r="S528" s="26">
        <f>IF(DataTable[[#This Row],[COGS-MC_US]]&gt;=0,DataTable[[#This Row],[Manufacturing Price]],DataTable[[#This Row],[COGS]]/DataTable[[#This Row],[Units Sold]])</f>
        <v>5</v>
      </c>
    </row>
    <row r="529" spans="1:19" ht="12.75" hidden="1" x14ac:dyDescent="0.2">
      <c r="A529" s="20">
        <v>41913</v>
      </c>
      <c r="B529" t="s">
        <v>391</v>
      </c>
      <c r="C529" t="s">
        <v>390</v>
      </c>
      <c r="D529" t="s">
        <v>352</v>
      </c>
      <c r="E529" t="str">
        <f>VLOOKUP(DataTable[[#This Row],[Country]],Market!B:C,2,FALSE)</f>
        <v>North America</v>
      </c>
      <c r="F529" s="24">
        <v>5</v>
      </c>
      <c r="G529" s="24">
        <v>20310</v>
      </c>
      <c r="H529" s="24">
        <v>15</v>
      </c>
      <c r="I529" s="27">
        <v>2031</v>
      </c>
      <c r="J529" s="24">
        <v>30465</v>
      </c>
      <c r="K529" s="24">
        <v>1218.5999999999999</v>
      </c>
      <c r="L529" s="1" t="s">
        <v>57</v>
      </c>
      <c r="M529" s="24">
        <v>29246.400000000001</v>
      </c>
      <c r="N529" s="24">
        <f t="shared" si="8"/>
        <v>8936.4000000000015</v>
      </c>
      <c r="O529" t="str">
        <f>IF(DataTable[[#This Row],[Profit]]/DataTable[[#This Row],[COGS]]*100&gt;20,"Achived","Not Achived")</f>
        <v>Achived</v>
      </c>
      <c r="P529" s="25">
        <f>DataTable[[#This Row],[Profit]]/DataTable[[#This Row],[COGS]]</f>
        <v>0.44000000000000006</v>
      </c>
      <c r="Q529">
        <f>DataTable[[#This Row],[Manufacturing Price]]*DataTable[[#This Row],[Units Sold]]</f>
        <v>10155</v>
      </c>
      <c r="R529" s="26">
        <f>DataTable[[#This Row],[COGS]]-DataTable[[#This Row],[MC_US]]</f>
        <v>10155</v>
      </c>
      <c r="S529" s="26">
        <f>IF(DataTable[[#This Row],[COGS-MC_US]]&gt;=0,DataTable[[#This Row],[Manufacturing Price]],DataTable[[#This Row],[COGS]]/DataTable[[#This Row],[Units Sold]])</f>
        <v>5</v>
      </c>
    </row>
    <row r="530" spans="1:19" ht="12.75" hidden="1" x14ac:dyDescent="0.2">
      <c r="A530" s="20">
        <v>41913</v>
      </c>
      <c r="B530" t="s">
        <v>395</v>
      </c>
      <c r="C530" t="s">
        <v>390</v>
      </c>
      <c r="D530" t="s">
        <v>352</v>
      </c>
      <c r="E530" t="str">
        <f>VLOOKUP(DataTable[[#This Row],[Country]],Market!B:C,2,FALSE)</f>
        <v>North America</v>
      </c>
      <c r="F530" s="24">
        <v>10</v>
      </c>
      <c r="G530" s="24">
        <v>20310</v>
      </c>
      <c r="H530" s="24">
        <v>15</v>
      </c>
      <c r="I530" s="27">
        <v>2031</v>
      </c>
      <c r="J530" s="24">
        <v>30465</v>
      </c>
      <c r="K530" s="24">
        <v>1218.5999999999999</v>
      </c>
      <c r="L530" s="1" t="s">
        <v>57</v>
      </c>
      <c r="M530" s="24">
        <v>29246.400000000001</v>
      </c>
      <c r="N530" s="24">
        <f t="shared" si="8"/>
        <v>8936.4000000000015</v>
      </c>
      <c r="O530" t="str">
        <f>IF(DataTable[[#This Row],[Profit]]/DataTable[[#This Row],[COGS]]*100&gt;20,"Achived","Not Achived")</f>
        <v>Achived</v>
      </c>
      <c r="P530" s="25">
        <f>DataTable[[#This Row],[Profit]]/DataTable[[#This Row],[COGS]]</f>
        <v>0.44000000000000006</v>
      </c>
      <c r="Q530">
        <f>DataTable[[#This Row],[Manufacturing Price]]*DataTable[[#This Row],[Units Sold]]</f>
        <v>20310</v>
      </c>
      <c r="R530" s="26">
        <f>DataTable[[#This Row],[COGS]]-DataTable[[#This Row],[MC_US]]</f>
        <v>0</v>
      </c>
      <c r="S530" s="26">
        <f>IF(DataTable[[#This Row],[COGS-MC_US]]&gt;=0,DataTable[[#This Row],[Manufacturing Price]],DataTable[[#This Row],[COGS]]/DataTable[[#This Row],[Units Sold]])</f>
        <v>10</v>
      </c>
    </row>
    <row r="531" spans="1:19" ht="12.75" hidden="1" x14ac:dyDescent="0.2">
      <c r="A531" s="20">
        <v>41548</v>
      </c>
      <c r="B531" t="s">
        <v>395</v>
      </c>
      <c r="C531" t="s">
        <v>390</v>
      </c>
      <c r="D531" t="s">
        <v>352</v>
      </c>
      <c r="E531" t="str">
        <f>VLOOKUP(DataTable[[#This Row],[Country]],Market!B:C,2,FALSE)</f>
        <v>North America</v>
      </c>
      <c r="F531" s="24">
        <v>10</v>
      </c>
      <c r="G531" s="24">
        <v>15140</v>
      </c>
      <c r="H531" s="24">
        <v>15</v>
      </c>
      <c r="I531" s="27">
        <v>1514</v>
      </c>
      <c r="J531" s="24">
        <v>22710</v>
      </c>
      <c r="K531" s="24">
        <v>908.4</v>
      </c>
      <c r="L531" s="1" t="s">
        <v>57</v>
      </c>
      <c r="M531" s="24">
        <v>21801.599999999999</v>
      </c>
      <c r="N531" s="24">
        <f t="shared" si="8"/>
        <v>6661.5999999999985</v>
      </c>
      <c r="O531" t="str">
        <f>IF(DataTable[[#This Row],[Profit]]/DataTable[[#This Row],[COGS]]*100&gt;20,"Achived","Not Achived")</f>
        <v>Achived</v>
      </c>
      <c r="P531" s="25">
        <f>DataTable[[#This Row],[Profit]]/DataTable[[#This Row],[COGS]]</f>
        <v>0.43999999999999989</v>
      </c>
      <c r="Q531">
        <f>DataTable[[#This Row],[Manufacturing Price]]*DataTable[[#This Row],[Units Sold]]</f>
        <v>15140</v>
      </c>
      <c r="R531" s="26">
        <f>DataTable[[#This Row],[COGS]]-DataTable[[#This Row],[MC_US]]</f>
        <v>0</v>
      </c>
      <c r="S531" s="26">
        <f>IF(DataTable[[#This Row],[COGS-MC_US]]&gt;=0,DataTable[[#This Row],[Manufacturing Price]],DataTable[[#This Row],[COGS]]/DataTable[[#This Row],[Units Sold]])</f>
        <v>10</v>
      </c>
    </row>
    <row r="532" spans="1:19" ht="12.75" hidden="1" x14ac:dyDescent="0.2">
      <c r="A532" s="20">
        <v>41548</v>
      </c>
      <c r="B532" t="s">
        <v>397</v>
      </c>
      <c r="C532" t="s">
        <v>390</v>
      </c>
      <c r="D532" t="s">
        <v>352</v>
      </c>
      <c r="E532" t="str">
        <f>VLOOKUP(DataTable[[#This Row],[Country]],Market!B:C,2,FALSE)</f>
        <v>North America</v>
      </c>
      <c r="F532" s="24">
        <v>250</v>
      </c>
      <c r="G532" s="24">
        <v>15140</v>
      </c>
      <c r="H532" s="24">
        <v>15</v>
      </c>
      <c r="I532" s="27">
        <v>1514</v>
      </c>
      <c r="J532" s="24">
        <v>22710</v>
      </c>
      <c r="K532" s="24">
        <v>908.4</v>
      </c>
      <c r="L532" s="1" t="s">
        <v>57</v>
      </c>
      <c r="M532" s="24">
        <v>21801.599999999999</v>
      </c>
      <c r="N532" s="24">
        <f t="shared" si="8"/>
        <v>6661.5999999999985</v>
      </c>
      <c r="O532" t="str">
        <f>IF(DataTable[[#This Row],[Profit]]/DataTable[[#This Row],[COGS]]*100&gt;20,"Achived","Not Achived")</f>
        <v>Achived</v>
      </c>
      <c r="P532" s="25">
        <f>DataTable[[#This Row],[Profit]]/DataTable[[#This Row],[COGS]]</f>
        <v>0.43999999999999989</v>
      </c>
      <c r="Q532">
        <f>DataTable[[#This Row],[Manufacturing Price]]*DataTable[[#This Row],[Units Sold]]</f>
        <v>378500</v>
      </c>
      <c r="R532" s="26">
        <f>DataTable[[#This Row],[COGS]]-DataTable[[#This Row],[MC_US]]</f>
        <v>-363360</v>
      </c>
      <c r="S532" s="26">
        <f>IF(DataTable[[#This Row],[COGS-MC_US]]&gt;=0,DataTable[[#This Row],[Manufacturing Price]],DataTable[[#This Row],[COGS]]/DataTable[[#This Row],[Units Sold]])</f>
        <v>10</v>
      </c>
    </row>
    <row r="533" spans="1:19" ht="12.75" hidden="1" x14ac:dyDescent="0.2">
      <c r="A533" s="20">
        <v>41944</v>
      </c>
      <c r="B533" t="s">
        <v>389</v>
      </c>
      <c r="C533" t="s">
        <v>390</v>
      </c>
      <c r="D533" t="s">
        <v>352</v>
      </c>
      <c r="E533" t="str">
        <f>VLOOKUP(DataTable[[#This Row],[Country]],Market!B:C,2,FALSE)</f>
        <v>North America</v>
      </c>
      <c r="F533" s="24">
        <v>3</v>
      </c>
      <c r="G533" s="24">
        <v>27910</v>
      </c>
      <c r="H533" s="24">
        <v>15</v>
      </c>
      <c r="I533" s="27">
        <v>2791</v>
      </c>
      <c r="J533" s="24">
        <v>41865</v>
      </c>
      <c r="K533" s="24">
        <v>2093.25</v>
      </c>
      <c r="L533" s="1" t="s">
        <v>124</v>
      </c>
      <c r="M533" s="24">
        <v>39771.75</v>
      </c>
      <c r="N533" s="24">
        <f t="shared" si="8"/>
        <v>11861.75</v>
      </c>
      <c r="O533" t="str">
        <f>IF(DataTable[[#This Row],[Profit]]/DataTable[[#This Row],[COGS]]*100&gt;20,"Achived","Not Achived")</f>
        <v>Achived</v>
      </c>
      <c r="P533" s="25">
        <f>DataTable[[#This Row],[Profit]]/DataTable[[#This Row],[COGS]]</f>
        <v>0.42499999999999999</v>
      </c>
      <c r="Q533">
        <f>DataTable[[#This Row],[Manufacturing Price]]*DataTable[[#This Row],[Units Sold]]</f>
        <v>8373</v>
      </c>
      <c r="R533" s="26">
        <f>DataTable[[#This Row],[COGS]]-DataTable[[#This Row],[MC_US]]</f>
        <v>19537</v>
      </c>
      <c r="S533" s="26">
        <f>IF(DataTable[[#This Row],[COGS-MC_US]]&gt;=0,DataTable[[#This Row],[Manufacturing Price]],DataTable[[#This Row],[COGS]]/DataTable[[#This Row],[Units Sold]])</f>
        <v>3</v>
      </c>
    </row>
    <row r="534" spans="1:19" ht="12.75" hidden="1" x14ac:dyDescent="0.2">
      <c r="A534" s="20">
        <v>41640</v>
      </c>
      <c r="B534" t="s">
        <v>396</v>
      </c>
      <c r="C534" t="s">
        <v>390</v>
      </c>
      <c r="D534" t="s">
        <v>352</v>
      </c>
      <c r="E534" t="str">
        <f>VLOOKUP(DataTable[[#This Row],[Country]],Market!B:C,2,FALSE)</f>
        <v>North America</v>
      </c>
      <c r="F534" s="24">
        <v>120</v>
      </c>
      <c r="G534" s="24">
        <v>28610</v>
      </c>
      <c r="H534" s="24">
        <v>15</v>
      </c>
      <c r="I534" s="27">
        <v>2861</v>
      </c>
      <c r="J534" s="24">
        <v>42915</v>
      </c>
      <c r="K534" s="24">
        <v>2145.75</v>
      </c>
      <c r="L534" s="1" t="s">
        <v>124</v>
      </c>
      <c r="M534" s="24">
        <v>40769.25</v>
      </c>
      <c r="N534" s="24">
        <f t="shared" si="8"/>
        <v>12159.25</v>
      </c>
      <c r="O534" t="str">
        <f>IF(DataTable[[#This Row],[Profit]]/DataTable[[#This Row],[COGS]]*100&gt;20,"Achived","Not Achived")</f>
        <v>Achived</v>
      </c>
      <c r="P534" s="25">
        <f>DataTable[[#This Row],[Profit]]/DataTable[[#This Row],[COGS]]</f>
        <v>0.42499999999999999</v>
      </c>
      <c r="Q534">
        <f>DataTable[[#This Row],[Manufacturing Price]]*DataTable[[#This Row],[Units Sold]]</f>
        <v>343320</v>
      </c>
      <c r="R534" s="26">
        <f>DataTable[[#This Row],[COGS]]-DataTable[[#This Row],[MC_US]]</f>
        <v>-314710</v>
      </c>
      <c r="S534" s="26">
        <f>IF(DataTable[[#This Row],[COGS-MC_US]]&gt;=0,DataTable[[#This Row],[Manufacturing Price]],DataTable[[#This Row],[COGS]]/DataTable[[#This Row],[Units Sold]])</f>
        <v>10</v>
      </c>
    </row>
    <row r="535" spans="1:19" ht="12.75" hidden="1" x14ac:dyDescent="0.2">
      <c r="A535" s="20">
        <v>41760</v>
      </c>
      <c r="B535" t="s">
        <v>396</v>
      </c>
      <c r="C535" t="s">
        <v>390</v>
      </c>
      <c r="D535" t="s">
        <v>352</v>
      </c>
      <c r="E535" t="str">
        <f>VLOOKUP(DataTable[[#This Row],[Country]],Market!B:C,2,FALSE)</f>
        <v>North America</v>
      </c>
      <c r="F535" s="24">
        <v>120</v>
      </c>
      <c r="G535" s="24">
        <v>2450</v>
      </c>
      <c r="H535" s="24">
        <v>15</v>
      </c>
      <c r="I535" s="27">
        <v>245</v>
      </c>
      <c r="J535" s="24">
        <v>3675</v>
      </c>
      <c r="K535" s="24">
        <v>330.75</v>
      </c>
      <c r="L535" s="1" t="s">
        <v>124</v>
      </c>
      <c r="M535" s="24">
        <v>3344.25</v>
      </c>
      <c r="N535" s="24">
        <f t="shared" si="8"/>
        <v>894.25</v>
      </c>
      <c r="O535" t="str">
        <f>IF(DataTable[[#This Row],[Profit]]/DataTable[[#This Row],[COGS]]*100&gt;20,"Achived","Not Achived")</f>
        <v>Achived</v>
      </c>
      <c r="P535" s="25">
        <f>DataTable[[#This Row],[Profit]]/DataTable[[#This Row],[COGS]]</f>
        <v>0.36499999999999999</v>
      </c>
      <c r="Q535">
        <f>DataTable[[#This Row],[Manufacturing Price]]*DataTable[[#This Row],[Units Sold]]</f>
        <v>29400</v>
      </c>
      <c r="R535" s="26">
        <f>DataTable[[#This Row],[COGS]]-DataTable[[#This Row],[MC_US]]</f>
        <v>-26950</v>
      </c>
      <c r="S535" s="26">
        <f>IF(DataTable[[#This Row],[COGS-MC_US]]&gt;=0,DataTable[[#This Row],[Manufacturing Price]],DataTable[[#This Row],[COGS]]/DataTable[[#This Row],[Units Sold]])</f>
        <v>10</v>
      </c>
    </row>
    <row r="536" spans="1:19" ht="12.75" hidden="1" x14ac:dyDescent="0.2">
      <c r="A536" s="20">
        <v>41730</v>
      </c>
      <c r="B536" t="s">
        <v>396</v>
      </c>
      <c r="C536" t="s">
        <v>390</v>
      </c>
      <c r="D536" t="s">
        <v>352</v>
      </c>
      <c r="E536" t="str">
        <f>VLOOKUP(DataTable[[#This Row],[Country]],Market!B:C,2,FALSE)</f>
        <v>North America</v>
      </c>
      <c r="F536" s="24">
        <v>120</v>
      </c>
      <c r="G536" s="24">
        <v>26280</v>
      </c>
      <c r="H536" s="24">
        <v>15</v>
      </c>
      <c r="I536" s="27">
        <v>2628</v>
      </c>
      <c r="J536" s="24">
        <v>39420</v>
      </c>
      <c r="K536" s="24">
        <v>3547.8</v>
      </c>
      <c r="L536" s="1" t="s">
        <v>124</v>
      </c>
      <c r="M536" s="24">
        <v>35872.199999999997</v>
      </c>
      <c r="N536" s="24">
        <f t="shared" si="8"/>
        <v>9592.1999999999971</v>
      </c>
      <c r="O536" t="str">
        <f>IF(DataTable[[#This Row],[Profit]]/DataTable[[#This Row],[COGS]]*100&gt;20,"Achived","Not Achived")</f>
        <v>Achived</v>
      </c>
      <c r="P536" s="25">
        <f>DataTable[[#This Row],[Profit]]/DataTable[[#This Row],[COGS]]</f>
        <v>0.36499999999999988</v>
      </c>
      <c r="Q536">
        <f>DataTable[[#This Row],[Manufacturing Price]]*DataTable[[#This Row],[Units Sold]]</f>
        <v>315360</v>
      </c>
      <c r="R536" s="26">
        <f>DataTable[[#This Row],[COGS]]-DataTable[[#This Row],[MC_US]]</f>
        <v>-289080</v>
      </c>
      <c r="S536" s="26">
        <f>IF(DataTable[[#This Row],[COGS-MC_US]]&gt;=0,DataTable[[#This Row],[Manufacturing Price]],DataTable[[#This Row],[COGS]]/DataTable[[#This Row],[Units Sold]])</f>
        <v>10</v>
      </c>
    </row>
    <row r="537" spans="1:19" ht="12.75" x14ac:dyDescent="0.2">
      <c r="A537" s="20">
        <v>41821</v>
      </c>
      <c r="B537" t="s">
        <v>397</v>
      </c>
      <c r="C537" t="s">
        <v>390</v>
      </c>
      <c r="D537" t="s">
        <v>352</v>
      </c>
      <c r="E537" t="str">
        <f>VLOOKUP(DataTable[[#This Row],[Country]],Market!B:C,2,FALSE)</f>
        <v>North America</v>
      </c>
      <c r="F537" s="24">
        <v>250</v>
      </c>
      <c r="G537" s="24">
        <v>6410</v>
      </c>
      <c r="H537" s="24">
        <v>15</v>
      </c>
      <c r="I537" s="27">
        <v>641</v>
      </c>
      <c r="J537" s="24">
        <v>9615</v>
      </c>
      <c r="K537" s="24">
        <v>961.5</v>
      </c>
      <c r="L537" s="1" t="s">
        <v>158</v>
      </c>
      <c r="M537" s="24">
        <v>8653.5</v>
      </c>
      <c r="N537" s="24">
        <f t="shared" si="8"/>
        <v>2243.5</v>
      </c>
      <c r="O537" t="str">
        <f>IF(DataTable[[#This Row],[Profit]]/DataTable[[#This Row],[COGS]]*100&gt;20,"Achived","Not Achived")</f>
        <v>Achived</v>
      </c>
      <c r="P537" s="25">
        <f>DataTable[[#This Row],[Profit]]/DataTable[[#This Row],[COGS]]</f>
        <v>0.35</v>
      </c>
      <c r="Q537">
        <f>DataTable[[#This Row],[Manufacturing Price]]*DataTable[[#This Row],[Units Sold]]</f>
        <v>160250</v>
      </c>
      <c r="R537" s="26">
        <f>DataTable[[#This Row],[COGS]]-DataTable[[#This Row],[MC_US]]</f>
        <v>-153840</v>
      </c>
      <c r="S537" s="26">
        <f>IF(DataTable[[#This Row],[COGS-MC_US]]&gt;=0,DataTable[[#This Row],[Manufacturing Price]],DataTable[[#This Row],[COGS]]/DataTable[[#This Row],[Units Sold]])</f>
        <v>10</v>
      </c>
    </row>
    <row r="538" spans="1:19" ht="12.75" x14ac:dyDescent="0.2">
      <c r="A538" s="20">
        <v>41974</v>
      </c>
      <c r="B538" t="s">
        <v>391</v>
      </c>
      <c r="C538" t="s">
        <v>390</v>
      </c>
      <c r="D538" t="s">
        <v>352</v>
      </c>
      <c r="E538" t="str">
        <f>VLOOKUP(DataTable[[#This Row],[Country]],Market!B:C,2,FALSE)</f>
        <v>North America</v>
      </c>
      <c r="F538" s="24">
        <v>5</v>
      </c>
      <c r="G538" s="24">
        <v>21570</v>
      </c>
      <c r="H538" s="24">
        <v>15</v>
      </c>
      <c r="I538" s="27">
        <v>2157</v>
      </c>
      <c r="J538" s="24">
        <v>32355</v>
      </c>
      <c r="K538" s="24">
        <v>3559.05</v>
      </c>
      <c r="L538" s="1" t="s">
        <v>158</v>
      </c>
      <c r="M538" s="24">
        <v>28795.95</v>
      </c>
      <c r="N538" s="24">
        <f t="shared" si="8"/>
        <v>7225.9500000000007</v>
      </c>
      <c r="O538" t="str">
        <f>IF(DataTable[[#This Row],[Profit]]/DataTable[[#This Row],[COGS]]*100&gt;20,"Achived","Not Achived")</f>
        <v>Achived</v>
      </c>
      <c r="P538" s="25">
        <f>DataTable[[#This Row],[Profit]]/DataTable[[#This Row],[COGS]]</f>
        <v>0.33500000000000002</v>
      </c>
      <c r="Q538">
        <f>DataTable[[#This Row],[Manufacturing Price]]*DataTable[[#This Row],[Units Sold]]</f>
        <v>10785</v>
      </c>
      <c r="R538" s="26">
        <f>DataTable[[#This Row],[COGS]]-DataTable[[#This Row],[MC_US]]</f>
        <v>10785</v>
      </c>
      <c r="S538" s="26">
        <f>IF(DataTable[[#This Row],[COGS-MC_US]]&gt;=0,DataTable[[#This Row],[Manufacturing Price]],DataTable[[#This Row],[COGS]]/DataTable[[#This Row],[Units Sold]])</f>
        <v>5</v>
      </c>
    </row>
    <row r="539" spans="1:19" ht="12.75" x14ac:dyDescent="0.2">
      <c r="A539" s="20">
        <v>41852</v>
      </c>
      <c r="B539" t="s">
        <v>395</v>
      </c>
      <c r="C539" t="s">
        <v>390</v>
      </c>
      <c r="D539" t="s">
        <v>352</v>
      </c>
      <c r="E539" t="str">
        <f>VLOOKUP(DataTable[[#This Row],[Country]],Market!B:C,2,FALSE)</f>
        <v>North America</v>
      </c>
      <c r="F539" s="24">
        <v>10</v>
      </c>
      <c r="G539" s="24">
        <v>19840</v>
      </c>
      <c r="H539" s="24">
        <v>15</v>
      </c>
      <c r="I539" s="27">
        <v>1984</v>
      </c>
      <c r="J539" s="24">
        <v>29760</v>
      </c>
      <c r="K539" s="24">
        <v>3273.6</v>
      </c>
      <c r="L539" s="1" t="s">
        <v>158</v>
      </c>
      <c r="M539" s="24">
        <v>26486.400000000001</v>
      </c>
      <c r="N539" s="24">
        <f t="shared" si="8"/>
        <v>6646.4000000000015</v>
      </c>
      <c r="O539" t="str">
        <f>IF(DataTable[[#This Row],[Profit]]/DataTable[[#This Row],[COGS]]*100&gt;20,"Achived","Not Achived")</f>
        <v>Achived</v>
      </c>
      <c r="P539" s="25">
        <f>DataTable[[#This Row],[Profit]]/DataTable[[#This Row],[COGS]]</f>
        <v>0.33500000000000008</v>
      </c>
      <c r="Q539">
        <f>DataTable[[#This Row],[Manufacturing Price]]*DataTable[[#This Row],[Units Sold]]</f>
        <v>19840</v>
      </c>
      <c r="R539" s="26">
        <f>DataTable[[#This Row],[COGS]]-DataTable[[#This Row],[MC_US]]</f>
        <v>0</v>
      </c>
      <c r="S539" s="26">
        <f>IF(DataTable[[#This Row],[COGS-MC_US]]&gt;=0,DataTable[[#This Row],[Manufacturing Price]],DataTable[[#This Row],[COGS]]/DataTable[[#This Row],[Units Sold]])</f>
        <v>10</v>
      </c>
    </row>
    <row r="540" spans="1:19" ht="12.75" x14ac:dyDescent="0.2">
      <c r="A540" s="20">
        <v>41518</v>
      </c>
      <c r="B540" t="s">
        <v>396</v>
      </c>
      <c r="C540" t="s">
        <v>390</v>
      </c>
      <c r="D540" t="s">
        <v>352</v>
      </c>
      <c r="E540" t="str">
        <f>VLOOKUP(DataTable[[#This Row],[Country]],Market!B:C,2,FALSE)</f>
        <v>North America</v>
      </c>
      <c r="F540" s="24">
        <v>120</v>
      </c>
      <c r="G540" s="24">
        <v>6550</v>
      </c>
      <c r="H540" s="24">
        <v>15</v>
      </c>
      <c r="I540" s="27">
        <v>655</v>
      </c>
      <c r="J540" s="24">
        <v>9825</v>
      </c>
      <c r="K540" s="24">
        <v>1080.75</v>
      </c>
      <c r="L540" s="1" t="s">
        <v>158</v>
      </c>
      <c r="M540" s="24">
        <v>8744.25</v>
      </c>
      <c r="N540" s="24">
        <f t="shared" si="8"/>
        <v>2194.25</v>
      </c>
      <c r="O540" t="str">
        <f>IF(DataTable[[#This Row],[Profit]]/DataTable[[#This Row],[COGS]]*100&gt;20,"Achived","Not Achived")</f>
        <v>Achived</v>
      </c>
      <c r="P540" s="25">
        <f>DataTable[[#This Row],[Profit]]/DataTable[[#This Row],[COGS]]</f>
        <v>0.33500000000000002</v>
      </c>
      <c r="Q540">
        <f>DataTable[[#This Row],[Manufacturing Price]]*DataTable[[#This Row],[Units Sold]]</f>
        <v>78600</v>
      </c>
      <c r="R540" s="26">
        <f>DataTable[[#This Row],[COGS]]-DataTable[[#This Row],[MC_US]]</f>
        <v>-72050</v>
      </c>
      <c r="S540" s="26">
        <f>IF(DataTable[[#This Row],[COGS-MC_US]]&gt;=0,DataTable[[#This Row],[Manufacturing Price]],DataTable[[#This Row],[COGS]]/DataTable[[#This Row],[Units Sold]])</f>
        <v>10</v>
      </c>
    </row>
    <row r="541" spans="1:19" ht="12.75" x14ac:dyDescent="0.2">
      <c r="A541" s="20">
        <v>41974</v>
      </c>
      <c r="B541" t="s">
        <v>398</v>
      </c>
      <c r="C541" t="s">
        <v>390</v>
      </c>
      <c r="D541" t="s">
        <v>352</v>
      </c>
      <c r="E541" t="str">
        <f>VLOOKUP(DataTable[[#This Row],[Country]],Market!B:C,2,FALSE)</f>
        <v>North America</v>
      </c>
      <c r="F541" s="24">
        <v>260</v>
      </c>
      <c r="G541" s="24">
        <v>21570</v>
      </c>
      <c r="H541" s="24">
        <v>15</v>
      </c>
      <c r="I541" s="27">
        <v>2157</v>
      </c>
      <c r="J541" s="24">
        <v>32355</v>
      </c>
      <c r="K541" s="24">
        <v>3559.05</v>
      </c>
      <c r="L541" s="1" t="s">
        <v>158</v>
      </c>
      <c r="M541" s="24">
        <v>28795.95</v>
      </c>
      <c r="N541" s="24">
        <f t="shared" si="8"/>
        <v>7225.9500000000007</v>
      </c>
      <c r="O541" t="str">
        <f>IF(DataTable[[#This Row],[Profit]]/DataTable[[#This Row],[COGS]]*100&gt;20,"Achived","Not Achived")</f>
        <v>Achived</v>
      </c>
      <c r="P541" s="25">
        <f>DataTable[[#This Row],[Profit]]/DataTable[[#This Row],[COGS]]</f>
        <v>0.33500000000000002</v>
      </c>
      <c r="Q541">
        <f>DataTable[[#This Row],[Manufacturing Price]]*DataTable[[#This Row],[Units Sold]]</f>
        <v>560820</v>
      </c>
      <c r="R541" s="26">
        <f>DataTable[[#This Row],[COGS]]-DataTable[[#This Row],[MC_US]]</f>
        <v>-539250</v>
      </c>
      <c r="S541" s="26">
        <f>IF(DataTable[[#This Row],[COGS-MC_US]]&gt;=0,DataTable[[#This Row],[Manufacturing Price]],DataTable[[#This Row],[COGS]]/DataTable[[#This Row],[Units Sold]])</f>
        <v>10</v>
      </c>
    </row>
    <row r="542" spans="1:19" ht="12.75" x14ac:dyDescent="0.2">
      <c r="A542" s="20">
        <v>41609</v>
      </c>
      <c r="B542" t="s">
        <v>395</v>
      </c>
      <c r="C542" t="s">
        <v>390</v>
      </c>
      <c r="D542" t="s">
        <v>352</v>
      </c>
      <c r="E542" t="str">
        <f>VLOOKUP(DataTable[[#This Row],[Country]],Market!B:C,2,FALSE)</f>
        <v>North America</v>
      </c>
      <c r="F542" s="24">
        <v>10</v>
      </c>
      <c r="G542" s="24">
        <v>3800</v>
      </c>
      <c r="H542" s="24">
        <v>15</v>
      </c>
      <c r="I542" s="27">
        <v>380</v>
      </c>
      <c r="J542" s="24">
        <v>5700</v>
      </c>
      <c r="K542" s="24">
        <v>684</v>
      </c>
      <c r="L542" s="1" t="s">
        <v>158</v>
      </c>
      <c r="M542" s="24">
        <v>5016</v>
      </c>
      <c r="N542" s="24">
        <f t="shared" si="8"/>
        <v>1216</v>
      </c>
      <c r="O542" t="str">
        <f>IF(DataTable[[#This Row],[Profit]]/DataTable[[#This Row],[COGS]]*100&gt;20,"Achived","Not Achived")</f>
        <v>Achived</v>
      </c>
      <c r="P542" s="25">
        <f>DataTable[[#This Row],[Profit]]/DataTable[[#This Row],[COGS]]</f>
        <v>0.32</v>
      </c>
      <c r="Q542">
        <f>DataTable[[#This Row],[Manufacturing Price]]*DataTable[[#This Row],[Units Sold]]</f>
        <v>3800</v>
      </c>
      <c r="R542" s="26">
        <f>DataTable[[#This Row],[COGS]]-DataTable[[#This Row],[MC_US]]</f>
        <v>0</v>
      </c>
      <c r="S542" s="26">
        <f>IF(DataTable[[#This Row],[COGS-MC_US]]&gt;=0,DataTable[[#This Row],[Manufacturing Price]],DataTable[[#This Row],[COGS]]/DataTable[[#This Row],[Units Sold]])</f>
        <v>10</v>
      </c>
    </row>
    <row r="543" spans="1:19" ht="12.75" x14ac:dyDescent="0.2">
      <c r="A543" s="20">
        <v>41579</v>
      </c>
      <c r="B543" t="s">
        <v>398</v>
      </c>
      <c r="C543" t="s">
        <v>390</v>
      </c>
      <c r="D543" t="s">
        <v>352</v>
      </c>
      <c r="E543" t="str">
        <f>VLOOKUP(DataTable[[#This Row],[Country]],Market!B:C,2,FALSE)</f>
        <v>North America</v>
      </c>
      <c r="F543" s="24">
        <v>260</v>
      </c>
      <c r="G543" s="24">
        <v>18700</v>
      </c>
      <c r="H543" s="24">
        <v>15</v>
      </c>
      <c r="I543" s="27">
        <v>1870</v>
      </c>
      <c r="J543" s="24">
        <v>28050</v>
      </c>
      <c r="K543" s="24">
        <v>3927</v>
      </c>
      <c r="L543" s="1" t="s">
        <v>158</v>
      </c>
      <c r="M543" s="24">
        <v>24123</v>
      </c>
      <c r="N543" s="24">
        <f t="shared" si="8"/>
        <v>5423</v>
      </c>
      <c r="O543" t="str">
        <f>IF(DataTable[[#This Row],[Profit]]/DataTable[[#This Row],[COGS]]*100&gt;20,"Achived","Not Achived")</f>
        <v>Achived</v>
      </c>
      <c r="P543" s="25">
        <f>DataTable[[#This Row],[Profit]]/DataTable[[#This Row],[COGS]]</f>
        <v>0.28999999999999998</v>
      </c>
      <c r="Q543">
        <f>DataTable[[#This Row],[Manufacturing Price]]*DataTable[[#This Row],[Units Sold]]</f>
        <v>486200</v>
      </c>
      <c r="R543" s="26">
        <f>DataTable[[#This Row],[COGS]]-DataTable[[#This Row],[MC_US]]</f>
        <v>-467500</v>
      </c>
      <c r="S543" s="26">
        <f>IF(DataTable[[#This Row],[COGS-MC_US]]&gt;=0,DataTable[[#This Row],[Manufacturing Price]],DataTable[[#This Row],[COGS]]/DataTable[[#This Row],[Units Sold]])</f>
        <v>10</v>
      </c>
    </row>
    <row r="544" spans="1:19" ht="12.75" hidden="1" x14ac:dyDescent="0.2">
      <c r="A544" s="20">
        <v>41791</v>
      </c>
      <c r="B544" t="s">
        <v>389</v>
      </c>
      <c r="C544" t="s">
        <v>390</v>
      </c>
      <c r="D544" t="s">
        <v>305</v>
      </c>
      <c r="E544" t="str">
        <f>VLOOKUP(DataTable[[#This Row],[Country]],Market!B:C,2,FALSE)</f>
        <v>Europe</v>
      </c>
      <c r="F544" s="24">
        <v>3</v>
      </c>
      <c r="G544" s="24">
        <v>8880</v>
      </c>
      <c r="H544" s="24">
        <v>15</v>
      </c>
      <c r="I544" s="27">
        <v>888</v>
      </c>
      <c r="J544" s="24">
        <v>13320</v>
      </c>
      <c r="K544" s="24">
        <v>0</v>
      </c>
      <c r="L544" s="1" t="s">
        <v>12</v>
      </c>
      <c r="M544" s="24">
        <v>13320</v>
      </c>
      <c r="N544" s="24">
        <f t="shared" si="8"/>
        <v>4440</v>
      </c>
      <c r="O544" t="str">
        <f>IF(DataTable[[#This Row],[Profit]]/DataTable[[#This Row],[COGS]]*100&gt;20,"Achived","Not Achived")</f>
        <v>Achived</v>
      </c>
      <c r="P544" s="25">
        <f>DataTable[[#This Row],[Profit]]/DataTable[[#This Row],[COGS]]</f>
        <v>0.5</v>
      </c>
      <c r="Q544">
        <f>DataTable[[#This Row],[Manufacturing Price]]*DataTable[[#This Row],[Units Sold]]</f>
        <v>2664</v>
      </c>
      <c r="R544" s="26">
        <f>DataTable[[#This Row],[COGS]]-DataTable[[#This Row],[MC_US]]</f>
        <v>6216</v>
      </c>
      <c r="S544" s="26">
        <f>IF(DataTable[[#This Row],[COGS-MC_US]]&gt;=0,DataTable[[#This Row],[Manufacturing Price]],DataTable[[#This Row],[COGS]]/DataTable[[#This Row],[Units Sold]])</f>
        <v>3</v>
      </c>
    </row>
    <row r="545" spans="1:19" ht="12.75" hidden="1" x14ac:dyDescent="0.2">
      <c r="A545" s="20">
        <v>41699</v>
      </c>
      <c r="B545" t="s">
        <v>391</v>
      </c>
      <c r="C545" t="s">
        <v>390</v>
      </c>
      <c r="D545" t="s">
        <v>305</v>
      </c>
      <c r="E545" t="str">
        <f>VLOOKUP(DataTable[[#This Row],[Country]],Market!B:C,2,FALSE)</f>
        <v>Europe</v>
      </c>
      <c r="F545" s="24">
        <v>5</v>
      </c>
      <c r="G545" s="24">
        <v>9210</v>
      </c>
      <c r="H545" s="24">
        <v>15</v>
      </c>
      <c r="I545" s="27">
        <v>921</v>
      </c>
      <c r="J545" s="24">
        <v>13815</v>
      </c>
      <c r="K545" s="24">
        <v>0</v>
      </c>
      <c r="L545" s="1" t="s">
        <v>12</v>
      </c>
      <c r="M545" s="24">
        <v>13815</v>
      </c>
      <c r="N545" s="24">
        <f t="shared" si="8"/>
        <v>4605</v>
      </c>
      <c r="O545" t="str">
        <f>IF(DataTable[[#This Row],[Profit]]/DataTable[[#This Row],[COGS]]*100&gt;20,"Achived","Not Achived")</f>
        <v>Achived</v>
      </c>
      <c r="P545" s="25">
        <f>DataTable[[#This Row],[Profit]]/DataTable[[#This Row],[COGS]]</f>
        <v>0.5</v>
      </c>
      <c r="Q545">
        <f>DataTable[[#This Row],[Manufacturing Price]]*DataTable[[#This Row],[Units Sold]]</f>
        <v>4605</v>
      </c>
      <c r="R545" s="26">
        <f>DataTable[[#This Row],[COGS]]-DataTable[[#This Row],[MC_US]]</f>
        <v>4605</v>
      </c>
      <c r="S545" s="26">
        <f>IF(DataTable[[#This Row],[COGS-MC_US]]&gt;=0,DataTable[[#This Row],[Manufacturing Price]],DataTable[[#This Row],[COGS]]/DataTable[[#This Row],[Units Sold]])</f>
        <v>5</v>
      </c>
    </row>
    <row r="546" spans="1:19" ht="12.75" hidden="1" x14ac:dyDescent="0.2">
      <c r="A546" s="20">
        <v>41791</v>
      </c>
      <c r="B546" t="s">
        <v>397</v>
      </c>
      <c r="C546" t="s">
        <v>390</v>
      </c>
      <c r="D546" t="s">
        <v>305</v>
      </c>
      <c r="E546" t="str">
        <f>VLOOKUP(DataTable[[#This Row],[Country]],Market!B:C,2,FALSE)</f>
        <v>Europe</v>
      </c>
      <c r="F546" s="24">
        <v>250</v>
      </c>
      <c r="G546" s="24">
        <v>8880</v>
      </c>
      <c r="H546" s="24">
        <v>15</v>
      </c>
      <c r="I546" s="27">
        <v>888</v>
      </c>
      <c r="J546" s="24">
        <v>13320</v>
      </c>
      <c r="K546" s="24">
        <v>0</v>
      </c>
      <c r="L546" s="1" t="s">
        <v>12</v>
      </c>
      <c r="M546" s="24">
        <v>13320</v>
      </c>
      <c r="N546" s="24">
        <f t="shared" si="8"/>
        <v>4440</v>
      </c>
      <c r="O546" t="str">
        <f>IF(DataTable[[#This Row],[Profit]]/DataTable[[#This Row],[COGS]]*100&gt;20,"Achived","Not Achived")</f>
        <v>Achived</v>
      </c>
      <c r="P546" s="25">
        <f>DataTable[[#This Row],[Profit]]/DataTable[[#This Row],[COGS]]</f>
        <v>0.5</v>
      </c>
      <c r="Q546">
        <f>DataTable[[#This Row],[Manufacturing Price]]*DataTable[[#This Row],[Units Sold]]</f>
        <v>222000</v>
      </c>
      <c r="R546" s="26">
        <f>DataTable[[#This Row],[COGS]]-DataTable[[#This Row],[MC_US]]</f>
        <v>-213120</v>
      </c>
      <c r="S546" s="26">
        <f>IF(DataTable[[#This Row],[COGS-MC_US]]&gt;=0,DataTable[[#This Row],[Manufacturing Price]],DataTable[[#This Row],[COGS]]/DataTable[[#This Row],[Units Sold]])</f>
        <v>10</v>
      </c>
    </row>
    <row r="547" spans="1:19" ht="12.75" hidden="1" x14ac:dyDescent="0.2">
      <c r="A547" s="20">
        <v>41883</v>
      </c>
      <c r="B547" t="s">
        <v>395</v>
      </c>
      <c r="C547" t="s">
        <v>390</v>
      </c>
      <c r="D547" t="s">
        <v>305</v>
      </c>
      <c r="E547" t="str">
        <f>VLOOKUP(DataTable[[#This Row],[Country]],Market!B:C,2,FALSE)</f>
        <v>Europe</v>
      </c>
      <c r="F547" s="24">
        <v>10</v>
      </c>
      <c r="G547" s="24">
        <v>7470</v>
      </c>
      <c r="H547" s="24">
        <v>15</v>
      </c>
      <c r="I547" s="27">
        <v>747</v>
      </c>
      <c r="J547" s="24">
        <v>11205</v>
      </c>
      <c r="K547" s="24">
        <v>112.05</v>
      </c>
      <c r="L547" s="1" t="s">
        <v>57</v>
      </c>
      <c r="M547" s="24">
        <v>11092.95</v>
      </c>
      <c r="N547" s="24">
        <f t="shared" si="8"/>
        <v>3622.9500000000007</v>
      </c>
      <c r="O547" t="str">
        <f>IF(DataTable[[#This Row],[Profit]]/DataTable[[#This Row],[COGS]]*100&gt;20,"Achived","Not Achived")</f>
        <v>Achived</v>
      </c>
      <c r="P547" s="25">
        <f>DataTable[[#This Row],[Profit]]/DataTable[[#This Row],[COGS]]</f>
        <v>0.4850000000000001</v>
      </c>
      <c r="Q547">
        <f>DataTable[[#This Row],[Manufacturing Price]]*DataTable[[#This Row],[Units Sold]]</f>
        <v>7470</v>
      </c>
      <c r="R547" s="26">
        <f>DataTable[[#This Row],[COGS]]-DataTable[[#This Row],[MC_US]]</f>
        <v>0</v>
      </c>
      <c r="S547" s="26">
        <f>IF(DataTable[[#This Row],[COGS-MC_US]]&gt;=0,DataTable[[#This Row],[Manufacturing Price]],DataTable[[#This Row],[COGS]]/DataTable[[#This Row],[Units Sold]])</f>
        <v>10</v>
      </c>
    </row>
    <row r="548" spans="1:19" ht="12.75" hidden="1" x14ac:dyDescent="0.2">
      <c r="A548" s="20">
        <v>41548</v>
      </c>
      <c r="B548" t="s">
        <v>395</v>
      </c>
      <c r="C548" t="s">
        <v>390</v>
      </c>
      <c r="D548" t="s">
        <v>305</v>
      </c>
      <c r="E548" t="str">
        <f>VLOOKUP(DataTable[[#This Row],[Country]],Market!B:C,2,FALSE)</f>
        <v>Europe</v>
      </c>
      <c r="F548" s="24">
        <v>10</v>
      </c>
      <c r="G548" s="24">
        <v>19450</v>
      </c>
      <c r="H548" s="24">
        <v>15</v>
      </c>
      <c r="I548" s="27">
        <v>1945</v>
      </c>
      <c r="J548" s="24">
        <v>29175</v>
      </c>
      <c r="K548" s="24">
        <v>875.25</v>
      </c>
      <c r="L548" s="1" t="s">
        <v>57</v>
      </c>
      <c r="M548" s="24">
        <v>28299.75</v>
      </c>
      <c r="N548" s="24">
        <f t="shared" si="8"/>
        <v>8849.75</v>
      </c>
      <c r="O548" t="str">
        <f>IF(DataTable[[#This Row],[Profit]]/DataTable[[#This Row],[COGS]]*100&gt;20,"Achived","Not Achived")</f>
        <v>Achived</v>
      </c>
      <c r="P548" s="25">
        <f>DataTable[[#This Row],[Profit]]/DataTable[[#This Row],[COGS]]</f>
        <v>0.45500000000000002</v>
      </c>
      <c r="Q548">
        <f>DataTable[[#This Row],[Manufacturing Price]]*DataTable[[#This Row],[Units Sold]]</f>
        <v>19450</v>
      </c>
      <c r="R548" s="26">
        <f>DataTable[[#This Row],[COGS]]-DataTable[[#This Row],[MC_US]]</f>
        <v>0</v>
      </c>
      <c r="S548" s="26">
        <f>IF(DataTable[[#This Row],[COGS-MC_US]]&gt;=0,DataTable[[#This Row],[Manufacturing Price]],DataTable[[#This Row],[COGS]]/DataTable[[#This Row],[Units Sold]])</f>
        <v>10</v>
      </c>
    </row>
    <row r="549" spans="1:19" ht="12.75" hidden="1" x14ac:dyDescent="0.2">
      <c r="A549" s="20">
        <v>41548</v>
      </c>
      <c r="B549" t="s">
        <v>397</v>
      </c>
      <c r="C549" t="s">
        <v>390</v>
      </c>
      <c r="D549" t="s">
        <v>305</v>
      </c>
      <c r="E549" t="str">
        <f>VLOOKUP(DataTable[[#This Row],[Country]],Market!B:C,2,FALSE)</f>
        <v>Europe</v>
      </c>
      <c r="F549" s="24">
        <v>250</v>
      </c>
      <c r="G549" s="24">
        <v>19450</v>
      </c>
      <c r="H549" s="24">
        <v>15</v>
      </c>
      <c r="I549" s="27">
        <v>1945</v>
      </c>
      <c r="J549" s="24">
        <v>29175</v>
      </c>
      <c r="K549" s="24">
        <v>875.25</v>
      </c>
      <c r="L549" s="1" t="s">
        <v>57</v>
      </c>
      <c r="M549" s="24">
        <v>28299.75</v>
      </c>
      <c r="N549" s="24">
        <f t="shared" si="8"/>
        <v>8849.75</v>
      </c>
      <c r="O549" t="str">
        <f>IF(DataTable[[#This Row],[Profit]]/DataTable[[#This Row],[COGS]]*100&gt;20,"Achived","Not Achived")</f>
        <v>Achived</v>
      </c>
      <c r="P549" s="25">
        <f>DataTable[[#This Row],[Profit]]/DataTable[[#This Row],[COGS]]</f>
        <v>0.45500000000000002</v>
      </c>
      <c r="Q549">
        <f>DataTable[[#This Row],[Manufacturing Price]]*DataTable[[#This Row],[Units Sold]]</f>
        <v>486250</v>
      </c>
      <c r="R549" s="26">
        <f>DataTable[[#This Row],[COGS]]-DataTable[[#This Row],[MC_US]]</f>
        <v>-466800</v>
      </c>
      <c r="S549" s="26">
        <f>IF(DataTable[[#This Row],[COGS-MC_US]]&gt;=0,DataTable[[#This Row],[Manufacturing Price]],DataTable[[#This Row],[COGS]]/DataTable[[#This Row],[Units Sold]])</f>
        <v>10</v>
      </c>
    </row>
    <row r="550" spans="1:19" ht="12.75" hidden="1" x14ac:dyDescent="0.2">
      <c r="A550" s="20">
        <v>41609</v>
      </c>
      <c r="B550" t="s">
        <v>395</v>
      </c>
      <c r="C550" t="s">
        <v>390</v>
      </c>
      <c r="D550" t="s">
        <v>305</v>
      </c>
      <c r="E550" t="str">
        <f>VLOOKUP(DataTable[[#This Row],[Country]],Market!B:C,2,FALSE)</f>
        <v>Europe</v>
      </c>
      <c r="F550" s="24">
        <v>10</v>
      </c>
      <c r="G550" s="24">
        <v>21160</v>
      </c>
      <c r="H550" s="24">
        <v>15</v>
      </c>
      <c r="I550" s="27">
        <v>2116</v>
      </c>
      <c r="J550" s="24">
        <v>31740</v>
      </c>
      <c r="K550" s="24">
        <v>1587</v>
      </c>
      <c r="L550" s="1" t="s">
        <v>124</v>
      </c>
      <c r="M550" s="24">
        <v>30153</v>
      </c>
      <c r="N550" s="24">
        <f t="shared" si="8"/>
        <v>8993</v>
      </c>
      <c r="O550" t="str">
        <f>IF(DataTable[[#This Row],[Profit]]/DataTable[[#This Row],[COGS]]*100&gt;20,"Achived","Not Achived")</f>
        <v>Achived</v>
      </c>
      <c r="P550" s="25">
        <f>DataTable[[#This Row],[Profit]]/DataTable[[#This Row],[COGS]]</f>
        <v>0.42499999999999999</v>
      </c>
      <c r="Q550">
        <f>DataTable[[#This Row],[Manufacturing Price]]*DataTable[[#This Row],[Units Sold]]</f>
        <v>21160</v>
      </c>
      <c r="R550" s="26">
        <f>DataTable[[#This Row],[COGS]]-DataTable[[#This Row],[MC_US]]</f>
        <v>0</v>
      </c>
      <c r="S550" s="26">
        <f>IF(DataTable[[#This Row],[COGS-MC_US]]&gt;=0,DataTable[[#This Row],[Manufacturing Price]],DataTable[[#This Row],[COGS]]/DataTable[[#This Row],[Units Sold]])</f>
        <v>10</v>
      </c>
    </row>
    <row r="551" spans="1:19" ht="12.75" hidden="1" x14ac:dyDescent="0.2">
      <c r="A551" s="20">
        <v>41760</v>
      </c>
      <c r="B551" t="s">
        <v>396</v>
      </c>
      <c r="C551" t="s">
        <v>390</v>
      </c>
      <c r="D551" t="s">
        <v>305</v>
      </c>
      <c r="E551" t="str">
        <f>VLOOKUP(DataTable[[#This Row],[Country]],Market!B:C,2,FALSE)</f>
        <v>Europe</v>
      </c>
      <c r="F551" s="24">
        <v>120</v>
      </c>
      <c r="G551" s="24">
        <v>15300</v>
      </c>
      <c r="H551" s="24">
        <v>15</v>
      </c>
      <c r="I551" s="27">
        <v>1530</v>
      </c>
      <c r="J551" s="24">
        <v>22950</v>
      </c>
      <c r="K551" s="24">
        <v>1377</v>
      </c>
      <c r="L551" s="1" t="s">
        <v>124</v>
      </c>
      <c r="M551" s="24">
        <v>21573</v>
      </c>
      <c r="N551" s="24">
        <f t="shared" si="8"/>
        <v>6273</v>
      </c>
      <c r="O551" t="str">
        <f>IF(DataTable[[#This Row],[Profit]]/DataTable[[#This Row],[COGS]]*100&gt;20,"Achived","Not Achived")</f>
        <v>Achived</v>
      </c>
      <c r="P551" s="25">
        <f>DataTable[[#This Row],[Profit]]/DataTable[[#This Row],[COGS]]</f>
        <v>0.41</v>
      </c>
      <c r="Q551">
        <f>DataTable[[#This Row],[Manufacturing Price]]*DataTable[[#This Row],[Units Sold]]</f>
        <v>183600</v>
      </c>
      <c r="R551" s="26">
        <f>DataTable[[#This Row],[COGS]]-DataTable[[#This Row],[MC_US]]</f>
        <v>-168300</v>
      </c>
      <c r="S551" s="26">
        <f>IF(DataTable[[#This Row],[COGS-MC_US]]&gt;=0,DataTable[[#This Row],[Manufacturing Price]],DataTable[[#This Row],[COGS]]/DataTable[[#This Row],[Units Sold]])</f>
        <v>10</v>
      </c>
    </row>
    <row r="552" spans="1:19" ht="12.75" hidden="1" x14ac:dyDescent="0.2">
      <c r="A552" s="20">
        <v>41852</v>
      </c>
      <c r="B552" t="s">
        <v>395</v>
      </c>
      <c r="C552" t="s">
        <v>390</v>
      </c>
      <c r="D552" t="s">
        <v>305</v>
      </c>
      <c r="E552" t="str">
        <f>VLOOKUP(DataTable[[#This Row],[Country]],Market!B:C,2,FALSE)</f>
        <v>Europe</v>
      </c>
      <c r="F552" s="24">
        <v>10</v>
      </c>
      <c r="G552" s="24">
        <v>17430</v>
      </c>
      <c r="H552" s="24">
        <v>15</v>
      </c>
      <c r="I552" s="27">
        <v>1743</v>
      </c>
      <c r="J552" s="24">
        <v>26145</v>
      </c>
      <c r="K552" s="24">
        <v>1568.7</v>
      </c>
      <c r="L552" s="1" t="s">
        <v>124</v>
      </c>
      <c r="M552" s="24">
        <v>24576.3</v>
      </c>
      <c r="N552" s="24">
        <f t="shared" si="8"/>
        <v>7146.2999999999993</v>
      </c>
      <c r="O552" t="str">
        <f>IF(DataTable[[#This Row],[Profit]]/DataTable[[#This Row],[COGS]]*100&gt;20,"Achived","Not Achived")</f>
        <v>Achived</v>
      </c>
      <c r="P552" s="25">
        <f>DataTable[[#This Row],[Profit]]/DataTable[[#This Row],[COGS]]</f>
        <v>0.41</v>
      </c>
      <c r="Q552">
        <f>DataTable[[#This Row],[Manufacturing Price]]*DataTable[[#This Row],[Units Sold]]</f>
        <v>17430</v>
      </c>
      <c r="R552" s="26">
        <f>DataTable[[#This Row],[COGS]]-DataTable[[#This Row],[MC_US]]</f>
        <v>0</v>
      </c>
      <c r="S552" s="26">
        <f>IF(DataTable[[#This Row],[COGS-MC_US]]&gt;=0,DataTable[[#This Row],[Manufacturing Price]],DataTable[[#This Row],[COGS]]/DataTable[[#This Row],[Units Sold]])</f>
        <v>10</v>
      </c>
    </row>
    <row r="553" spans="1:19" ht="12.75" hidden="1" x14ac:dyDescent="0.2">
      <c r="A553" s="20">
        <v>41974</v>
      </c>
      <c r="B553" t="s">
        <v>391</v>
      </c>
      <c r="C553" t="s">
        <v>390</v>
      </c>
      <c r="D553" t="s">
        <v>305</v>
      </c>
      <c r="E553" t="str">
        <f>VLOOKUP(DataTable[[#This Row],[Country]],Market!B:C,2,FALSE)</f>
        <v>Europe</v>
      </c>
      <c r="F553" s="24">
        <v>5</v>
      </c>
      <c r="G553" s="24">
        <v>7110</v>
      </c>
      <c r="H553" s="24">
        <v>15</v>
      </c>
      <c r="I553" s="27">
        <v>711</v>
      </c>
      <c r="J553" s="24">
        <v>10665</v>
      </c>
      <c r="K553" s="24">
        <v>853.2</v>
      </c>
      <c r="L553" s="1" t="s">
        <v>124</v>
      </c>
      <c r="M553" s="24">
        <v>9811.7999999999993</v>
      </c>
      <c r="N553" s="24">
        <f t="shared" si="8"/>
        <v>2701.7999999999993</v>
      </c>
      <c r="O553" t="str">
        <f>IF(DataTable[[#This Row],[Profit]]/DataTable[[#This Row],[COGS]]*100&gt;20,"Achived","Not Achived")</f>
        <v>Achived</v>
      </c>
      <c r="P553" s="25">
        <f>DataTable[[#This Row],[Profit]]/DataTable[[#This Row],[COGS]]</f>
        <v>0.37999999999999989</v>
      </c>
      <c r="Q553">
        <f>DataTable[[#This Row],[Manufacturing Price]]*DataTable[[#This Row],[Units Sold]]</f>
        <v>3555</v>
      </c>
      <c r="R553" s="26">
        <f>DataTable[[#This Row],[COGS]]-DataTable[[#This Row],[MC_US]]</f>
        <v>3555</v>
      </c>
      <c r="S553" s="26">
        <f>IF(DataTable[[#This Row],[COGS-MC_US]]&gt;=0,DataTable[[#This Row],[Manufacturing Price]],DataTable[[#This Row],[COGS]]/DataTable[[#This Row],[Units Sold]])</f>
        <v>5</v>
      </c>
    </row>
    <row r="554" spans="1:19" ht="12.75" hidden="1" x14ac:dyDescent="0.2">
      <c r="A554" s="20">
        <v>41974</v>
      </c>
      <c r="B554" t="s">
        <v>398</v>
      </c>
      <c r="C554" t="s">
        <v>390</v>
      </c>
      <c r="D554" t="s">
        <v>305</v>
      </c>
      <c r="E554" t="str">
        <f>VLOOKUP(DataTable[[#This Row],[Country]],Market!B:C,2,FALSE)</f>
        <v>Europe</v>
      </c>
      <c r="F554" s="24">
        <v>260</v>
      </c>
      <c r="G554" s="24">
        <v>7110</v>
      </c>
      <c r="H554" s="24">
        <v>15</v>
      </c>
      <c r="I554" s="27">
        <v>711</v>
      </c>
      <c r="J554" s="24">
        <v>10665</v>
      </c>
      <c r="K554" s="24">
        <v>853.2</v>
      </c>
      <c r="L554" s="1" t="s">
        <v>124</v>
      </c>
      <c r="M554" s="24">
        <v>9811.7999999999993</v>
      </c>
      <c r="N554" s="24">
        <f t="shared" si="8"/>
        <v>2701.7999999999993</v>
      </c>
      <c r="O554" t="str">
        <f>IF(DataTable[[#This Row],[Profit]]/DataTable[[#This Row],[COGS]]*100&gt;20,"Achived","Not Achived")</f>
        <v>Achived</v>
      </c>
      <c r="P554" s="25">
        <f>DataTable[[#This Row],[Profit]]/DataTable[[#This Row],[COGS]]</f>
        <v>0.37999999999999989</v>
      </c>
      <c r="Q554">
        <f>DataTable[[#This Row],[Manufacturing Price]]*DataTable[[#This Row],[Units Sold]]</f>
        <v>184860</v>
      </c>
      <c r="R554" s="26">
        <f>DataTable[[#This Row],[COGS]]-DataTable[[#This Row],[MC_US]]</f>
        <v>-177750</v>
      </c>
      <c r="S554" s="26">
        <f>IF(DataTable[[#This Row],[COGS-MC_US]]&gt;=0,DataTable[[#This Row],[Manufacturing Price]],DataTable[[#This Row],[COGS]]/DataTable[[#This Row],[Units Sold]])</f>
        <v>10</v>
      </c>
    </row>
    <row r="555" spans="1:19" ht="12.75" hidden="1" x14ac:dyDescent="0.2">
      <c r="A555" s="20">
        <v>41579</v>
      </c>
      <c r="B555" t="s">
        <v>398</v>
      </c>
      <c r="C555" t="s">
        <v>390</v>
      </c>
      <c r="D555" t="s">
        <v>305</v>
      </c>
      <c r="E555" t="str">
        <f>VLOOKUP(DataTable[[#This Row],[Country]],Market!B:C,2,FALSE)</f>
        <v>Europe</v>
      </c>
      <c r="F555" s="24">
        <v>260</v>
      </c>
      <c r="G555" s="24">
        <v>9700</v>
      </c>
      <c r="H555" s="24">
        <v>15</v>
      </c>
      <c r="I555" s="27">
        <v>970</v>
      </c>
      <c r="J555" s="24">
        <v>14550</v>
      </c>
      <c r="K555" s="24">
        <v>1309.5</v>
      </c>
      <c r="L555" s="1" t="s">
        <v>124</v>
      </c>
      <c r="M555" s="24">
        <v>13240.5</v>
      </c>
      <c r="N555" s="24">
        <f t="shared" si="8"/>
        <v>3540.5</v>
      </c>
      <c r="O555" t="str">
        <f>IF(DataTable[[#This Row],[Profit]]/DataTable[[#This Row],[COGS]]*100&gt;20,"Achived","Not Achived")</f>
        <v>Achived</v>
      </c>
      <c r="P555" s="25">
        <f>DataTable[[#This Row],[Profit]]/DataTable[[#This Row],[COGS]]</f>
        <v>0.36499999999999999</v>
      </c>
      <c r="Q555">
        <f>DataTable[[#This Row],[Manufacturing Price]]*DataTable[[#This Row],[Units Sold]]</f>
        <v>252200</v>
      </c>
      <c r="R555" s="26">
        <f>DataTable[[#This Row],[COGS]]-DataTable[[#This Row],[MC_US]]</f>
        <v>-242500</v>
      </c>
      <c r="S555" s="26">
        <f>IF(DataTable[[#This Row],[COGS-MC_US]]&gt;=0,DataTable[[#This Row],[Manufacturing Price]],DataTable[[#This Row],[COGS]]/DataTable[[#This Row],[Units Sold]])</f>
        <v>10</v>
      </c>
    </row>
    <row r="556" spans="1:19" ht="12.75" x14ac:dyDescent="0.2">
      <c r="A556" s="20">
        <v>41640</v>
      </c>
      <c r="B556" t="s">
        <v>396</v>
      </c>
      <c r="C556" t="s">
        <v>390</v>
      </c>
      <c r="D556" t="s">
        <v>305</v>
      </c>
      <c r="E556" t="str">
        <f>VLOOKUP(DataTable[[#This Row],[Country]],Market!B:C,2,FALSE)</f>
        <v>Europe</v>
      </c>
      <c r="F556" s="24">
        <v>120</v>
      </c>
      <c r="G556" s="24">
        <v>6810</v>
      </c>
      <c r="H556" s="24">
        <v>15</v>
      </c>
      <c r="I556" s="27">
        <v>681</v>
      </c>
      <c r="J556" s="24">
        <v>10215</v>
      </c>
      <c r="K556" s="24">
        <v>1021.5</v>
      </c>
      <c r="L556" s="1" t="s">
        <v>158</v>
      </c>
      <c r="M556" s="24">
        <v>9193.5</v>
      </c>
      <c r="N556" s="24">
        <f t="shared" si="8"/>
        <v>2383.5</v>
      </c>
      <c r="O556" t="str">
        <f>IF(DataTable[[#This Row],[Profit]]/DataTable[[#This Row],[COGS]]*100&gt;20,"Achived","Not Achived")</f>
        <v>Achived</v>
      </c>
      <c r="P556" s="25">
        <f>DataTable[[#This Row],[Profit]]/DataTable[[#This Row],[COGS]]</f>
        <v>0.35</v>
      </c>
      <c r="Q556">
        <f>DataTable[[#This Row],[Manufacturing Price]]*DataTable[[#This Row],[Units Sold]]</f>
        <v>81720</v>
      </c>
      <c r="R556" s="26">
        <f>DataTable[[#This Row],[COGS]]-DataTable[[#This Row],[MC_US]]</f>
        <v>-74910</v>
      </c>
      <c r="S556" s="26">
        <f>IF(DataTable[[#This Row],[COGS-MC_US]]&gt;=0,DataTable[[#This Row],[Manufacturing Price]],DataTable[[#This Row],[COGS]]/DataTable[[#This Row],[Units Sold]])</f>
        <v>10</v>
      </c>
    </row>
    <row r="557" spans="1:19" ht="12.75" x14ac:dyDescent="0.2">
      <c r="A557" s="20">
        <v>41730</v>
      </c>
      <c r="B557" t="s">
        <v>396</v>
      </c>
      <c r="C557" t="s">
        <v>390</v>
      </c>
      <c r="D557" t="s">
        <v>305</v>
      </c>
      <c r="E557" t="str">
        <f>VLOOKUP(DataTable[[#This Row],[Country]],Market!B:C,2,FALSE)</f>
        <v>Europe</v>
      </c>
      <c r="F557" s="24">
        <v>120</v>
      </c>
      <c r="G557" s="24">
        <v>5100</v>
      </c>
      <c r="H557" s="24">
        <v>15</v>
      </c>
      <c r="I557" s="27">
        <v>510</v>
      </c>
      <c r="J557" s="24">
        <v>7650</v>
      </c>
      <c r="K557" s="24">
        <v>765</v>
      </c>
      <c r="L557" s="1" t="s">
        <v>158</v>
      </c>
      <c r="M557" s="24">
        <v>6885</v>
      </c>
      <c r="N557" s="24">
        <f t="shared" si="8"/>
        <v>1785</v>
      </c>
      <c r="O557" t="str">
        <f>IF(DataTable[[#This Row],[Profit]]/DataTable[[#This Row],[COGS]]*100&gt;20,"Achived","Not Achived")</f>
        <v>Achived</v>
      </c>
      <c r="P557" s="25">
        <f>DataTable[[#This Row],[Profit]]/DataTable[[#This Row],[COGS]]</f>
        <v>0.35</v>
      </c>
      <c r="Q557">
        <f>DataTable[[#This Row],[Manufacturing Price]]*DataTable[[#This Row],[Units Sold]]</f>
        <v>61200</v>
      </c>
      <c r="R557" s="26">
        <f>DataTable[[#This Row],[COGS]]-DataTable[[#This Row],[MC_US]]</f>
        <v>-56100</v>
      </c>
      <c r="S557" s="26">
        <f>IF(DataTable[[#This Row],[COGS-MC_US]]&gt;=0,DataTable[[#This Row],[Manufacturing Price]],DataTable[[#This Row],[COGS]]/DataTable[[#This Row],[Units Sold]])</f>
        <v>10</v>
      </c>
    </row>
    <row r="558" spans="1:19" ht="12.75" x14ac:dyDescent="0.2">
      <c r="A558" s="20">
        <v>41518</v>
      </c>
      <c r="B558" t="s">
        <v>396</v>
      </c>
      <c r="C558" t="s">
        <v>390</v>
      </c>
      <c r="D558" t="s">
        <v>305</v>
      </c>
      <c r="E558" t="str">
        <f>VLOOKUP(DataTable[[#This Row],[Country]],Market!B:C,2,FALSE)</f>
        <v>Europe</v>
      </c>
      <c r="F558" s="24">
        <v>120</v>
      </c>
      <c r="G558" s="24">
        <v>6600</v>
      </c>
      <c r="H558" s="24">
        <v>15</v>
      </c>
      <c r="I558" s="27">
        <v>660</v>
      </c>
      <c r="J558" s="24">
        <v>9900</v>
      </c>
      <c r="K558" s="24">
        <v>1287</v>
      </c>
      <c r="L558" s="1" t="s">
        <v>158</v>
      </c>
      <c r="M558" s="24">
        <v>8613</v>
      </c>
      <c r="N558" s="24">
        <f t="shared" si="8"/>
        <v>2013</v>
      </c>
      <c r="O558" t="str">
        <f>IF(DataTable[[#This Row],[Profit]]/DataTable[[#This Row],[COGS]]*100&gt;20,"Achived","Not Achived")</f>
        <v>Achived</v>
      </c>
      <c r="P558" s="25">
        <f>DataTable[[#This Row],[Profit]]/DataTable[[#This Row],[COGS]]</f>
        <v>0.30499999999999999</v>
      </c>
      <c r="Q558">
        <f>DataTable[[#This Row],[Manufacturing Price]]*DataTable[[#This Row],[Units Sold]]</f>
        <v>79200</v>
      </c>
      <c r="R558" s="26">
        <f>DataTable[[#This Row],[COGS]]-DataTable[[#This Row],[MC_US]]</f>
        <v>-72600</v>
      </c>
      <c r="S558" s="26">
        <f>IF(DataTable[[#This Row],[COGS-MC_US]]&gt;=0,DataTable[[#This Row],[Manufacturing Price]],DataTable[[#This Row],[COGS]]/DataTable[[#This Row],[Units Sold]])</f>
        <v>10</v>
      </c>
    </row>
    <row r="559" spans="1:19" ht="12.75" x14ac:dyDescent="0.2">
      <c r="A559" s="20">
        <v>41671</v>
      </c>
      <c r="B559" t="s">
        <v>395</v>
      </c>
      <c r="C559" t="s">
        <v>390</v>
      </c>
      <c r="D559" t="s">
        <v>305</v>
      </c>
      <c r="E559" t="str">
        <f>VLOOKUP(DataTable[[#This Row],[Country]],Market!B:C,2,FALSE)</f>
        <v>Europe</v>
      </c>
      <c r="F559" s="24">
        <v>10</v>
      </c>
      <c r="G559" s="24">
        <v>2780</v>
      </c>
      <c r="H559" s="24">
        <v>15</v>
      </c>
      <c r="I559" s="27">
        <v>278</v>
      </c>
      <c r="J559" s="24">
        <v>4170</v>
      </c>
      <c r="K559" s="24">
        <v>583.79999999999995</v>
      </c>
      <c r="L559" s="1" t="s">
        <v>158</v>
      </c>
      <c r="M559" s="24">
        <v>3586.2</v>
      </c>
      <c r="N559" s="24">
        <f t="shared" si="8"/>
        <v>806.19999999999982</v>
      </c>
      <c r="O559" t="str">
        <f>IF(DataTable[[#This Row],[Profit]]/DataTable[[#This Row],[COGS]]*100&gt;20,"Achived","Not Achived")</f>
        <v>Achived</v>
      </c>
      <c r="P559" s="25">
        <f>DataTable[[#This Row],[Profit]]/DataTable[[#This Row],[COGS]]</f>
        <v>0.28999999999999992</v>
      </c>
      <c r="Q559">
        <f>DataTable[[#This Row],[Manufacturing Price]]*DataTable[[#This Row],[Units Sold]]</f>
        <v>2780</v>
      </c>
      <c r="R559" s="26">
        <f>DataTable[[#This Row],[COGS]]-DataTable[[#This Row],[MC_US]]</f>
        <v>0</v>
      </c>
      <c r="S559" s="26">
        <f>IF(DataTable[[#This Row],[COGS-MC_US]]&gt;=0,DataTable[[#This Row],[Manufacturing Price]],DataTable[[#This Row],[COGS]]/DataTable[[#This Row],[Units Sold]])</f>
        <v>10</v>
      </c>
    </row>
    <row r="560" spans="1:19" ht="12.75" x14ac:dyDescent="0.2">
      <c r="A560" s="20">
        <v>41944</v>
      </c>
      <c r="B560" t="s">
        <v>389</v>
      </c>
      <c r="C560" t="s">
        <v>390</v>
      </c>
      <c r="D560" t="s">
        <v>305</v>
      </c>
      <c r="E560" t="str">
        <f>VLOOKUP(DataTable[[#This Row],[Country]],Market!B:C,2,FALSE)</f>
        <v>Europe</v>
      </c>
      <c r="F560" s="24">
        <v>3</v>
      </c>
      <c r="G560" s="24">
        <v>15130</v>
      </c>
      <c r="H560" s="24">
        <v>15</v>
      </c>
      <c r="I560" s="27">
        <v>1513</v>
      </c>
      <c r="J560" s="24">
        <v>22695</v>
      </c>
      <c r="K560" s="24">
        <v>3177.3</v>
      </c>
      <c r="L560" s="1" t="s">
        <v>158</v>
      </c>
      <c r="M560" s="24">
        <v>19517.7</v>
      </c>
      <c r="N560" s="24">
        <f t="shared" si="8"/>
        <v>4387.7000000000007</v>
      </c>
      <c r="O560" t="str">
        <f>IF(DataTable[[#This Row],[Profit]]/DataTable[[#This Row],[COGS]]*100&gt;20,"Achived","Not Achived")</f>
        <v>Achived</v>
      </c>
      <c r="P560" s="25">
        <f>DataTable[[#This Row],[Profit]]/DataTable[[#This Row],[COGS]]</f>
        <v>0.29000000000000004</v>
      </c>
      <c r="Q560">
        <f>DataTable[[#This Row],[Manufacturing Price]]*DataTable[[#This Row],[Units Sold]]</f>
        <v>4539</v>
      </c>
      <c r="R560" s="26">
        <f>DataTable[[#This Row],[COGS]]-DataTable[[#This Row],[MC_US]]</f>
        <v>10591</v>
      </c>
      <c r="S560" s="26">
        <f>IF(DataTable[[#This Row],[COGS-MC_US]]&gt;=0,DataTable[[#This Row],[Manufacturing Price]],DataTable[[#This Row],[COGS]]/DataTable[[#This Row],[Units Sold]])</f>
        <v>3</v>
      </c>
    </row>
    <row r="561" spans="1:19" ht="12.75" x14ac:dyDescent="0.2">
      <c r="A561" s="20">
        <v>41913</v>
      </c>
      <c r="B561" t="s">
        <v>395</v>
      </c>
      <c r="C561" t="s">
        <v>390</v>
      </c>
      <c r="D561" t="s">
        <v>305</v>
      </c>
      <c r="E561" t="str">
        <f>VLOOKUP(DataTable[[#This Row],[Country]],Market!B:C,2,FALSE)</f>
        <v>Europe</v>
      </c>
      <c r="F561" s="24">
        <v>10</v>
      </c>
      <c r="G561" s="24">
        <v>11750</v>
      </c>
      <c r="H561" s="24">
        <v>15</v>
      </c>
      <c r="I561" s="27">
        <v>1175</v>
      </c>
      <c r="J561" s="24">
        <v>17625</v>
      </c>
      <c r="K561" s="24">
        <v>2643.75</v>
      </c>
      <c r="L561" s="1" t="s">
        <v>158</v>
      </c>
      <c r="M561" s="24">
        <v>14981.25</v>
      </c>
      <c r="N561" s="24">
        <f t="shared" si="8"/>
        <v>3231.25</v>
      </c>
      <c r="O561" t="str">
        <f>IF(DataTable[[#This Row],[Profit]]/DataTable[[#This Row],[COGS]]*100&gt;20,"Achived","Not Achived")</f>
        <v>Achived</v>
      </c>
      <c r="P561" s="25">
        <f>DataTable[[#This Row],[Profit]]/DataTable[[#This Row],[COGS]]</f>
        <v>0.27500000000000002</v>
      </c>
      <c r="Q561">
        <f>DataTable[[#This Row],[Manufacturing Price]]*DataTable[[#This Row],[Units Sold]]</f>
        <v>11750</v>
      </c>
      <c r="R561" s="26">
        <f>DataTable[[#This Row],[COGS]]-DataTable[[#This Row],[MC_US]]</f>
        <v>0</v>
      </c>
      <c r="S561" s="26">
        <f>IF(DataTable[[#This Row],[COGS-MC_US]]&gt;=0,DataTable[[#This Row],[Manufacturing Price]],DataTable[[#This Row],[COGS]]/DataTable[[#This Row],[Units Sold]])</f>
        <v>10</v>
      </c>
    </row>
    <row r="562" spans="1:19" ht="12.75" x14ac:dyDescent="0.2">
      <c r="A562" s="20">
        <v>41821</v>
      </c>
      <c r="B562" t="s">
        <v>397</v>
      </c>
      <c r="C562" t="s">
        <v>390</v>
      </c>
      <c r="D562" t="s">
        <v>305</v>
      </c>
      <c r="E562" t="str">
        <f>VLOOKUP(DataTable[[#This Row],[Country]],Market!B:C,2,FALSE)</f>
        <v>Europe</v>
      </c>
      <c r="F562" s="24">
        <v>250</v>
      </c>
      <c r="G562" s="24">
        <v>4920</v>
      </c>
      <c r="H562" s="24">
        <v>15</v>
      </c>
      <c r="I562" s="27">
        <v>492</v>
      </c>
      <c r="J562" s="24">
        <v>7380</v>
      </c>
      <c r="K562" s="24">
        <v>1107</v>
      </c>
      <c r="L562" s="1" t="s">
        <v>158</v>
      </c>
      <c r="M562" s="24">
        <v>6273</v>
      </c>
      <c r="N562" s="24">
        <f t="shared" si="8"/>
        <v>1353</v>
      </c>
      <c r="O562" t="str">
        <f>IF(DataTable[[#This Row],[Profit]]/DataTable[[#This Row],[COGS]]*100&gt;20,"Achived","Not Achived")</f>
        <v>Achived</v>
      </c>
      <c r="P562" s="25">
        <f>DataTable[[#This Row],[Profit]]/DataTable[[#This Row],[COGS]]</f>
        <v>0.27500000000000002</v>
      </c>
      <c r="Q562">
        <f>DataTable[[#This Row],[Manufacturing Price]]*DataTable[[#This Row],[Units Sold]]</f>
        <v>123000</v>
      </c>
      <c r="R562" s="26">
        <f>DataTable[[#This Row],[COGS]]-DataTable[[#This Row],[MC_US]]</f>
        <v>-118080</v>
      </c>
      <c r="S562" s="26">
        <f>IF(DataTable[[#This Row],[COGS-MC_US]]&gt;=0,DataTable[[#This Row],[Manufacturing Price]],DataTable[[#This Row],[COGS]]/DataTable[[#This Row],[Units Sold]])</f>
        <v>10</v>
      </c>
    </row>
    <row r="563" spans="1:19" ht="12.75" x14ac:dyDescent="0.2">
      <c r="A563" s="20">
        <v>41913</v>
      </c>
      <c r="B563" t="s">
        <v>397</v>
      </c>
      <c r="C563" t="s">
        <v>390</v>
      </c>
      <c r="D563" t="s">
        <v>305</v>
      </c>
      <c r="E563" t="str">
        <f>VLOOKUP(DataTable[[#This Row],[Country]],Market!B:C,2,FALSE)</f>
        <v>Europe</v>
      </c>
      <c r="F563" s="24">
        <v>250</v>
      </c>
      <c r="G563" s="24">
        <v>11750</v>
      </c>
      <c r="H563" s="24">
        <v>15</v>
      </c>
      <c r="I563" s="27">
        <v>1175</v>
      </c>
      <c r="J563" s="24">
        <v>17625</v>
      </c>
      <c r="K563" s="24">
        <v>2643.75</v>
      </c>
      <c r="L563" s="1" t="s">
        <v>158</v>
      </c>
      <c r="M563" s="24">
        <v>14981.25</v>
      </c>
      <c r="N563" s="24">
        <f t="shared" si="8"/>
        <v>3231.25</v>
      </c>
      <c r="O563" t="str">
        <f>IF(DataTable[[#This Row],[Profit]]/DataTable[[#This Row],[COGS]]*100&gt;20,"Achived","Not Achived")</f>
        <v>Achived</v>
      </c>
      <c r="P563" s="25">
        <f>DataTable[[#This Row],[Profit]]/DataTable[[#This Row],[COGS]]</f>
        <v>0.27500000000000002</v>
      </c>
      <c r="Q563">
        <f>DataTable[[#This Row],[Manufacturing Price]]*DataTable[[#This Row],[Units Sold]]</f>
        <v>293750</v>
      </c>
      <c r="R563" s="26">
        <f>DataTable[[#This Row],[COGS]]-DataTable[[#This Row],[MC_US]]</f>
        <v>-282000</v>
      </c>
      <c r="S563" s="26">
        <f>IF(DataTable[[#This Row],[COGS-MC_US]]&gt;=0,DataTable[[#This Row],[Manufacturing Price]],DataTable[[#This Row],[COGS]]/DataTable[[#This Row],[Units Sold]])</f>
        <v>10</v>
      </c>
    </row>
    <row r="564" spans="1:19" ht="12.75" hidden="1" x14ac:dyDescent="0.2">
      <c r="A564" s="20">
        <v>41791</v>
      </c>
      <c r="B564" t="s">
        <v>389</v>
      </c>
      <c r="C564" t="s">
        <v>390</v>
      </c>
      <c r="D564" t="s">
        <v>304</v>
      </c>
      <c r="E564" t="str">
        <f>VLOOKUP(DataTable[[#This Row],[Country]],Market!B:C,2,FALSE)</f>
        <v>Europe</v>
      </c>
      <c r="F564" s="24">
        <v>3</v>
      </c>
      <c r="G564" s="24">
        <v>21780</v>
      </c>
      <c r="H564" s="24">
        <v>15</v>
      </c>
      <c r="I564" s="27">
        <v>2178</v>
      </c>
      <c r="J564" s="24">
        <v>32670</v>
      </c>
      <c r="K564" s="24">
        <v>0</v>
      </c>
      <c r="L564" s="1" t="s">
        <v>12</v>
      </c>
      <c r="M564" s="24">
        <v>32670</v>
      </c>
      <c r="N564" s="24">
        <f t="shared" si="8"/>
        <v>10890</v>
      </c>
      <c r="O564" t="str">
        <f>IF(DataTable[[#This Row],[Profit]]/DataTable[[#This Row],[COGS]]*100&gt;20,"Achived","Not Achived")</f>
        <v>Achived</v>
      </c>
      <c r="P564" s="25">
        <f>DataTable[[#This Row],[Profit]]/DataTable[[#This Row],[COGS]]</f>
        <v>0.5</v>
      </c>
      <c r="Q564">
        <f>DataTable[[#This Row],[Manufacturing Price]]*DataTable[[#This Row],[Units Sold]]</f>
        <v>6534</v>
      </c>
      <c r="R564" s="26">
        <f>DataTable[[#This Row],[COGS]]-DataTable[[#This Row],[MC_US]]</f>
        <v>15246</v>
      </c>
      <c r="S564" s="26">
        <f>IF(DataTable[[#This Row],[COGS-MC_US]]&gt;=0,DataTable[[#This Row],[Manufacturing Price]],DataTable[[#This Row],[COGS]]/DataTable[[#This Row],[Units Sold]])</f>
        <v>3</v>
      </c>
    </row>
    <row r="565" spans="1:19" ht="12.75" hidden="1" x14ac:dyDescent="0.2">
      <c r="A565" s="20">
        <v>41518</v>
      </c>
      <c r="B565" t="s">
        <v>395</v>
      </c>
      <c r="C565" t="s">
        <v>390</v>
      </c>
      <c r="D565" t="s">
        <v>304</v>
      </c>
      <c r="E565" t="str">
        <f>VLOOKUP(DataTable[[#This Row],[Country]],Market!B:C,2,FALSE)</f>
        <v>Europe</v>
      </c>
      <c r="F565" s="24">
        <v>10</v>
      </c>
      <c r="G565" s="24">
        <v>5490</v>
      </c>
      <c r="H565" s="24">
        <v>15</v>
      </c>
      <c r="I565" s="27">
        <v>549</v>
      </c>
      <c r="J565" s="24">
        <v>8235</v>
      </c>
      <c r="K565" s="24">
        <v>0</v>
      </c>
      <c r="L565" s="1" t="s">
        <v>12</v>
      </c>
      <c r="M565" s="24">
        <v>8235</v>
      </c>
      <c r="N565" s="24">
        <f t="shared" si="8"/>
        <v>2745</v>
      </c>
      <c r="O565" t="str">
        <f>IF(DataTable[[#This Row],[Profit]]/DataTable[[#This Row],[COGS]]*100&gt;20,"Achived","Not Achived")</f>
        <v>Achived</v>
      </c>
      <c r="P565" s="25">
        <f>DataTable[[#This Row],[Profit]]/DataTable[[#This Row],[COGS]]</f>
        <v>0.5</v>
      </c>
      <c r="Q565">
        <f>DataTable[[#This Row],[Manufacturing Price]]*DataTable[[#This Row],[Units Sold]]</f>
        <v>5490</v>
      </c>
      <c r="R565" s="26">
        <f>DataTable[[#This Row],[COGS]]-DataTable[[#This Row],[MC_US]]</f>
        <v>0</v>
      </c>
      <c r="S565" s="26">
        <f>IF(DataTable[[#This Row],[COGS-MC_US]]&gt;=0,DataTable[[#This Row],[Manufacturing Price]],DataTable[[#This Row],[COGS]]/DataTable[[#This Row],[Units Sold]])</f>
        <v>10</v>
      </c>
    </row>
    <row r="566" spans="1:19" ht="12.75" hidden="1" x14ac:dyDescent="0.2">
      <c r="A566" s="20">
        <v>41791</v>
      </c>
      <c r="B566" t="s">
        <v>397</v>
      </c>
      <c r="C566" t="s">
        <v>390</v>
      </c>
      <c r="D566" t="s">
        <v>304</v>
      </c>
      <c r="E566" t="str">
        <f>VLOOKUP(DataTable[[#This Row],[Country]],Market!B:C,2,FALSE)</f>
        <v>Europe</v>
      </c>
      <c r="F566" s="24">
        <v>250</v>
      </c>
      <c r="G566" s="24">
        <v>21780</v>
      </c>
      <c r="H566" s="24">
        <v>15</v>
      </c>
      <c r="I566" s="27">
        <v>2178</v>
      </c>
      <c r="J566" s="24">
        <v>32670</v>
      </c>
      <c r="K566" s="24">
        <v>0</v>
      </c>
      <c r="L566" s="1" t="s">
        <v>12</v>
      </c>
      <c r="M566" s="24">
        <v>32670</v>
      </c>
      <c r="N566" s="24">
        <f t="shared" si="8"/>
        <v>10890</v>
      </c>
      <c r="O566" t="str">
        <f>IF(DataTable[[#This Row],[Profit]]/DataTable[[#This Row],[COGS]]*100&gt;20,"Achived","Not Achived")</f>
        <v>Achived</v>
      </c>
      <c r="P566" s="25">
        <f>DataTable[[#This Row],[Profit]]/DataTable[[#This Row],[COGS]]</f>
        <v>0.5</v>
      </c>
      <c r="Q566">
        <f>DataTable[[#This Row],[Manufacturing Price]]*DataTable[[#This Row],[Units Sold]]</f>
        <v>544500</v>
      </c>
      <c r="R566" s="26">
        <f>DataTable[[#This Row],[COGS]]-DataTable[[#This Row],[MC_US]]</f>
        <v>-522720</v>
      </c>
      <c r="S566" s="26">
        <f>IF(DataTable[[#This Row],[COGS-MC_US]]&gt;=0,DataTable[[#This Row],[Manufacturing Price]],DataTable[[#This Row],[COGS]]/DataTable[[#This Row],[Units Sold]])</f>
        <v>10</v>
      </c>
    </row>
    <row r="567" spans="1:19" ht="12.75" hidden="1" x14ac:dyDescent="0.2">
      <c r="A567" s="20">
        <v>41671</v>
      </c>
      <c r="B567" t="s">
        <v>395</v>
      </c>
      <c r="C567" t="s">
        <v>390</v>
      </c>
      <c r="D567" t="s">
        <v>304</v>
      </c>
      <c r="E567" t="str">
        <f>VLOOKUP(DataTable[[#This Row],[Country]],Market!B:C,2,FALSE)</f>
        <v>Europe</v>
      </c>
      <c r="F567" s="24">
        <v>10</v>
      </c>
      <c r="G567" s="24">
        <v>22960</v>
      </c>
      <c r="H567" s="24">
        <v>15</v>
      </c>
      <c r="I567" s="27">
        <v>2296</v>
      </c>
      <c r="J567" s="24">
        <v>34440</v>
      </c>
      <c r="K567" s="24">
        <v>344.4</v>
      </c>
      <c r="L567" s="1" t="s">
        <v>57</v>
      </c>
      <c r="M567" s="24">
        <v>34095.599999999999</v>
      </c>
      <c r="N567" s="24">
        <f t="shared" si="8"/>
        <v>11135.599999999999</v>
      </c>
      <c r="O567" t="str">
        <f>IF(DataTable[[#This Row],[Profit]]/DataTable[[#This Row],[COGS]]*100&gt;20,"Achived","Not Achived")</f>
        <v>Achived</v>
      </c>
      <c r="P567" s="25">
        <f>DataTable[[#This Row],[Profit]]/DataTable[[#This Row],[COGS]]</f>
        <v>0.48499999999999993</v>
      </c>
      <c r="Q567">
        <f>DataTable[[#This Row],[Manufacturing Price]]*DataTable[[#This Row],[Units Sold]]</f>
        <v>22960</v>
      </c>
      <c r="R567" s="26">
        <f>DataTable[[#This Row],[COGS]]-DataTable[[#This Row],[MC_US]]</f>
        <v>0</v>
      </c>
      <c r="S567" s="26">
        <f>IF(DataTable[[#This Row],[COGS-MC_US]]&gt;=0,DataTable[[#This Row],[Manufacturing Price]],DataTable[[#This Row],[COGS]]/DataTable[[#This Row],[Units Sold]])</f>
        <v>10</v>
      </c>
    </row>
    <row r="568" spans="1:19" ht="12.75" hidden="1" x14ac:dyDescent="0.2">
      <c r="A568" s="20">
        <v>41579</v>
      </c>
      <c r="B568" t="s">
        <v>398</v>
      </c>
      <c r="C568" t="s">
        <v>390</v>
      </c>
      <c r="D568" t="s">
        <v>304</v>
      </c>
      <c r="E568" t="str">
        <f>VLOOKUP(DataTable[[#This Row],[Country]],Market!B:C,2,FALSE)</f>
        <v>Europe</v>
      </c>
      <c r="F568" s="24">
        <v>260</v>
      </c>
      <c r="G568" s="24">
        <v>3210</v>
      </c>
      <c r="H568" s="24">
        <v>15</v>
      </c>
      <c r="I568" s="27">
        <v>321</v>
      </c>
      <c r="J568" s="24">
        <v>4815</v>
      </c>
      <c r="K568" s="24">
        <v>48.15</v>
      </c>
      <c r="L568" s="1" t="s">
        <v>57</v>
      </c>
      <c r="M568" s="24">
        <v>4766.8500000000004</v>
      </c>
      <c r="N568" s="24">
        <f t="shared" si="8"/>
        <v>1556.8500000000004</v>
      </c>
      <c r="O568" t="str">
        <f>IF(DataTable[[#This Row],[Profit]]/DataTable[[#This Row],[COGS]]*100&gt;20,"Achived","Not Achived")</f>
        <v>Achived</v>
      </c>
      <c r="P568" s="25">
        <f>DataTable[[#This Row],[Profit]]/DataTable[[#This Row],[COGS]]</f>
        <v>0.4850000000000001</v>
      </c>
      <c r="Q568">
        <f>DataTable[[#This Row],[Manufacturing Price]]*DataTable[[#This Row],[Units Sold]]</f>
        <v>83460</v>
      </c>
      <c r="R568" s="26">
        <f>DataTable[[#This Row],[COGS]]-DataTable[[#This Row],[MC_US]]</f>
        <v>-80250</v>
      </c>
      <c r="S568" s="26">
        <f>IF(DataTable[[#This Row],[COGS-MC_US]]&gt;=0,DataTable[[#This Row],[Manufacturing Price]],DataTable[[#This Row],[COGS]]/DataTable[[#This Row],[Units Sold]])</f>
        <v>10</v>
      </c>
    </row>
    <row r="569" spans="1:19" ht="12.75" hidden="1" x14ac:dyDescent="0.2">
      <c r="A569" s="20">
        <v>41609</v>
      </c>
      <c r="B569" t="s">
        <v>395</v>
      </c>
      <c r="C569" t="s">
        <v>390</v>
      </c>
      <c r="D569" t="s">
        <v>304</v>
      </c>
      <c r="E569" t="str">
        <f>VLOOKUP(DataTable[[#This Row],[Country]],Market!B:C,2,FALSE)</f>
        <v>Europe</v>
      </c>
      <c r="F569" s="24">
        <v>10</v>
      </c>
      <c r="G569" s="24">
        <v>22610</v>
      </c>
      <c r="H569" s="24">
        <v>15</v>
      </c>
      <c r="I569" s="27">
        <v>2261</v>
      </c>
      <c r="J569" s="24">
        <v>33915</v>
      </c>
      <c r="K569" s="24">
        <v>1356.6</v>
      </c>
      <c r="L569" s="1" t="s">
        <v>57</v>
      </c>
      <c r="M569" s="24">
        <v>32558.400000000001</v>
      </c>
      <c r="N569" s="24">
        <f t="shared" si="8"/>
        <v>9948.4000000000015</v>
      </c>
      <c r="O569" t="str">
        <f>IF(DataTable[[#This Row],[Profit]]/DataTable[[#This Row],[COGS]]*100&gt;20,"Achived","Not Achived")</f>
        <v>Achived</v>
      </c>
      <c r="P569" s="25">
        <f>DataTable[[#This Row],[Profit]]/DataTable[[#This Row],[COGS]]</f>
        <v>0.44000000000000006</v>
      </c>
      <c r="Q569">
        <f>DataTable[[#This Row],[Manufacturing Price]]*DataTable[[#This Row],[Units Sold]]</f>
        <v>22610</v>
      </c>
      <c r="R569" s="26">
        <f>DataTable[[#This Row],[COGS]]-DataTable[[#This Row],[MC_US]]</f>
        <v>0</v>
      </c>
      <c r="S569" s="26">
        <f>IF(DataTable[[#This Row],[COGS-MC_US]]&gt;=0,DataTable[[#This Row],[Manufacturing Price]],DataTable[[#This Row],[COGS]]/DataTable[[#This Row],[Units Sold]])</f>
        <v>10</v>
      </c>
    </row>
    <row r="570" spans="1:19" ht="12.75" hidden="1" x14ac:dyDescent="0.2">
      <c r="A570" s="20">
        <v>41883</v>
      </c>
      <c r="B570" t="s">
        <v>395</v>
      </c>
      <c r="C570" t="s">
        <v>390</v>
      </c>
      <c r="D570" t="s">
        <v>304</v>
      </c>
      <c r="E570" t="str">
        <f>VLOOKUP(DataTable[[#This Row],[Country]],Market!B:C,2,FALSE)</f>
        <v>Europe</v>
      </c>
      <c r="F570" s="24">
        <v>10</v>
      </c>
      <c r="G570" s="24">
        <v>26200</v>
      </c>
      <c r="H570" s="24">
        <v>15</v>
      </c>
      <c r="I570" s="27">
        <v>2620</v>
      </c>
      <c r="J570" s="24">
        <v>39300</v>
      </c>
      <c r="K570" s="24">
        <v>1965</v>
      </c>
      <c r="L570" s="1" t="s">
        <v>124</v>
      </c>
      <c r="M570" s="24">
        <v>37335</v>
      </c>
      <c r="N570" s="24">
        <f t="shared" si="8"/>
        <v>11135</v>
      </c>
      <c r="O570" t="str">
        <f>IF(DataTable[[#This Row],[Profit]]/DataTable[[#This Row],[COGS]]*100&gt;20,"Achived","Not Achived")</f>
        <v>Achived</v>
      </c>
      <c r="P570" s="25">
        <f>DataTable[[#This Row],[Profit]]/DataTable[[#This Row],[COGS]]</f>
        <v>0.42499999999999999</v>
      </c>
      <c r="Q570">
        <f>DataTable[[#This Row],[Manufacturing Price]]*DataTable[[#This Row],[Units Sold]]</f>
        <v>26200</v>
      </c>
      <c r="R570" s="26">
        <f>DataTable[[#This Row],[COGS]]-DataTable[[#This Row],[MC_US]]</f>
        <v>0</v>
      </c>
      <c r="S570" s="26">
        <f>IF(DataTable[[#This Row],[COGS-MC_US]]&gt;=0,DataTable[[#This Row],[Manufacturing Price]],DataTable[[#This Row],[COGS]]/DataTable[[#This Row],[Units Sold]])</f>
        <v>10</v>
      </c>
    </row>
    <row r="571" spans="1:19" ht="12.75" hidden="1" x14ac:dyDescent="0.2">
      <c r="A571" s="20">
        <v>41730</v>
      </c>
      <c r="B571" t="s">
        <v>395</v>
      </c>
      <c r="C571" t="s">
        <v>390</v>
      </c>
      <c r="D571" t="s">
        <v>304</v>
      </c>
      <c r="E571" t="str">
        <f>VLOOKUP(DataTable[[#This Row],[Country]],Market!B:C,2,FALSE)</f>
        <v>Europe</v>
      </c>
      <c r="F571" s="24">
        <v>10</v>
      </c>
      <c r="G571" s="24">
        <v>38010</v>
      </c>
      <c r="H571" s="24">
        <v>15</v>
      </c>
      <c r="I571" s="27">
        <v>3801</v>
      </c>
      <c r="J571" s="24">
        <v>57015</v>
      </c>
      <c r="K571" s="24">
        <v>3420.9</v>
      </c>
      <c r="L571" s="1" t="s">
        <v>124</v>
      </c>
      <c r="M571" s="24">
        <v>53594.1</v>
      </c>
      <c r="N571" s="24">
        <f t="shared" si="8"/>
        <v>15584.099999999999</v>
      </c>
      <c r="O571" t="str">
        <f>IF(DataTable[[#This Row],[Profit]]/DataTable[[#This Row],[COGS]]*100&gt;20,"Achived","Not Achived")</f>
        <v>Achived</v>
      </c>
      <c r="P571" s="25">
        <f>DataTable[[#This Row],[Profit]]/DataTable[[#This Row],[COGS]]</f>
        <v>0.41</v>
      </c>
      <c r="Q571">
        <f>DataTable[[#This Row],[Manufacturing Price]]*DataTable[[#This Row],[Units Sold]]</f>
        <v>38010</v>
      </c>
      <c r="R571" s="26">
        <f>DataTable[[#This Row],[COGS]]-DataTable[[#This Row],[MC_US]]</f>
        <v>0</v>
      </c>
      <c r="S571" s="26">
        <f>IF(DataTable[[#This Row],[COGS-MC_US]]&gt;=0,DataTable[[#This Row],[Manufacturing Price]],DataTable[[#This Row],[COGS]]/DataTable[[#This Row],[Units Sold]])</f>
        <v>10</v>
      </c>
    </row>
    <row r="572" spans="1:19" ht="12.75" hidden="1" x14ac:dyDescent="0.2">
      <c r="A572" s="20">
        <v>41852</v>
      </c>
      <c r="B572" t="s">
        <v>395</v>
      </c>
      <c r="C572" t="s">
        <v>390</v>
      </c>
      <c r="D572" t="s">
        <v>304</v>
      </c>
      <c r="E572" t="str">
        <f>VLOOKUP(DataTable[[#This Row],[Country]],Market!B:C,2,FALSE)</f>
        <v>Europe</v>
      </c>
      <c r="F572" s="24">
        <v>10</v>
      </c>
      <c r="G572" s="24">
        <v>21010</v>
      </c>
      <c r="H572" s="24">
        <v>15</v>
      </c>
      <c r="I572" s="27">
        <v>2101</v>
      </c>
      <c r="J572" s="24">
        <v>31515</v>
      </c>
      <c r="K572" s="24">
        <v>2206.0500000000002</v>
      </c>
      <c r="L572" s="1" t="s">
        <v>124</v>
      </c>
      <c r="M572" s="24">
        <v>29308.95</v>
      </c>
      <c r="N572" s="24">
        <f t="shared" si="8"/>
        <v>8298.9500000000007</v>
      </c>
      <c r="O572" t="str">
        <f>IF(DataTable[[#This Row],[Profit]]/DataTable[[#This Row],[COGS]]*100&gt;20,"Achived","Not Achived")</f>
        <v>Achived</v>
      </c>
      <c r="P572" s="25">
        <f>DataTable[[#This Row],[Profit]]/DataTable[[#This Row],[COGS]]</f>
        <v>0.39500000000000002</v>
      </c>
      <c r="Q572">
        <f>DataTable[[#This Row],[Manufacturing Price]]*DataTable[[#This Row],[Units Sold]]</f>
        <v>21010</v>
      </c>
      <c r="R572" s="26">
        <f>DataTable[[#This Row],[COGS]]-DataTable[[#This Row],[MC_US]]</f>
        <v>0</v>
      </c>
      <c r="S572" s="26">
        <f>IF(DataTable[[#This Row],[COGS-MC_US]]&gt;=0,DataTable[[#This Row],[Manufacturing Price]],DataTable[[#This Row],[COGS]]/DataTable[[#This Row],[Units Sold]])</f>
        <v>10</v>
      </c>
    </row>
    <row r="573" spans="1:19" ht="12.75" hidden="1" x14ac:dyDescent="0.2">
      <c r="A573" s="20">
        <v>41944</v>
      </c>
      <c r="B573" t="s">
        <v>389</v>
      </c>
      <c r="C573" t="s">
        <v>390</v>
      </c>
      <c r="D573" t="s">
        <v>304</v>
      </c>
      <c r="E573" t="str">
        <f>VLOOKUP(DataTable[[#This Row],[Country]],Market!B:C,2,FALSE)</f>
        <v>Europe</v>
      </c>
      <c r="F573" s="24">
        <v>3</v>
      </c>
      <c r="G573" s="24">
        <v>4900</v>
      </c>
      <c r="H573" s="24">
        <v>15</v>
      </c>
      <c r="I573" s="27">
        <v>490</v>
      </c>
      <c r="J573" s="24">
        <v>7350</v>
      </c>
      <c r="K573" s="24">
        <v>588</v>
      </c>
      <c r="L573" s="1" t="s">
        <v>124</v>
      </c>
      <c r="M573" s="24">
        <v>6762</v>
      </c>
      <c r="N573" s="24">
        <f t="shared" si="8"/>
        <v>1862</v>
      </c>
      <c r="O573" t="str">
        <f>IF(DataTable[[#This Row],[Profit]]/DataTable[[#This Row],[COGS]]*100&gt;20,"Achived","Not Achived")</f>
        <v>Achived</v>
      </c>
      <c r="P573" s="25">
        <f>DataTable[[#This Row],[Profit]]/DataTable[[#This Row],[COGS]]</f>
        <v>0.38</v>
      </c>
      <c r="Q573">
        <f>DataTable[[#This Row],[Manufacturing Price]]*DataTable[[#This Row],[Units Sold]]</f>
        <v>1470</v>
      </c>
      <c r="R573" s="26">
        <f>DataTable[[#This Row],[COGS]]-DataTable[[#This Row],[MC_US]]</f>
        <v>3430</v>
      </c>
      <c r="S573" s="26">
        <f>IF(DataTable[[#This Row],[COGS-MC_US]]&gt;=0,DataTable[[#This Row],[Manufacturing Price]],DataTable[[#This Row],[COGS]]/DataTable[[#This Row],[Units Sold]])</f>
        <v>3</v>
      </c>
    </row>
    <row r="574" spans="1:19" ht="12.75" hidden="1" x14ac:dyDescent="0.2">
      <c r="A574" s="20">
        <v>41699</v>
      </c>
      <c r="B574" t="s">
        <v>391</v>
      </c>
      <c r="C574" t="s">
        <v>390</v>
      </c>
      <c r="D574" t="s">
        <v>304</v>
      </c>
      <c r="E574" t="str">
        <f>VLOOKUP(DataTable[[#This Row],[Country]],Market!B:C,2,FALSE)</f>
        <v>Europe</v>
      </c>
      <c r="F574" s="24">
        <v>5</v>
      </c>
      <c r="G574" s="24">
        <v>25010</v>
      </c>
      <c r="H574" s="24">
        <v>15</v>
      </c>
      <c r="I574" s="27">
        <v>2501</v>
      </c>
      <c r="J574" s="24">
        <v>37515</v>
      </c>
      <c r="K574" s="24">
        <v>3001.2</v>
      </c>
      <c r="L574" s="1" t="s">
        <v>124</v>
      </c>
      <c r="M574" s="24">
        <v>34513.800000000003</v>
      </c>
      <c r="N574" s="24">
        <f t="shared" si="8"/>
        <v>9503.8000000000029</v>
      </c>
      <c r="O574" t="str">
        <f>IF(DataTable[[#This Row],[Profit]]/DataTable[[#This Row],[COGS]]*100&gt;20,"Achived","Not Achived")</f>
        <v>Achived</v>
      </c>
      <c r="P574" s="25">
        <f>DataTable[[#This Row],[Profit]]/DataTable[[#This Row],[COGS]]</f>
        <v>0.38000000000000012</v>
      </c>
      <c r="Q574">
        <f>DataTable[[#This Row],[Manufacturing Price]]*DataTable[[#This Row],[Units Sold]]</f>
        <v>12505</v>
      </c>
      <c r="R574" s="26">
        <f>DataTable[[#This Row],[COGS]]-DataTable[[#This Row],[MC_US]]</f>
        <v>12505</v>
      </c>
      <c r="S574" s="26">
        <f>IF(DataTable[[#This Row],[COGS-MC_US]]&gt;=0,DataTable[[#This Row],[Manufacturing Price]],DataTable[[#This Row],[COGS]]/DataTable[[#This Row],[Units Sold]])</f>
        <v>5</v>
      </c>
    </row>
    <row r="575" spans="1:19" ht="12.75" hidden="1" x14ac:dyDescent="0.2">
      <c r="A575" s="20">
        <v>41913</v>
      </c>
      <c r="B575" t="s">
        <v>395</v>
      </c>
      <c r="C575" t="s">
        <v>390</v>
      </c>
      <c r="D575" t="s">
        <v>304</v>
      </c>
      <c r="E575" t="str">
        <f>VLOOKUP(DataTable[[#This Row],[Country]],Market!B:C,2,FALSE)</f>
        <v>Europe</v>
      </c>
      <c r="F575" s="24">
        <v>10</v>
      </c>
      <c r="G575" s="24">
        <v>12270</v>
      </c>
      <c r="H575" s="24">
        <v>15</v>
      </c>
      <c r="I575" s="27">
        <v>1227</v>
      </c>
      <c r="J575" s="24">
        <v>18405</v>
      </c>
      <c r="K575" s="24">
        <v>1656.45</v>
      </c>
      <c r="L575" s="1" t="s">
        <v>124</v>
      </c>
      <c r="M575" s="24">
        <v>16748.55</v>
      </c>
      <c r="N575" s="24">
        <f t="shared" si="8"/>
        <v>4478.5499999999993</v>
      </c>
      <c r="O575" t="str">
        <f>IF(DataTable[[#This Row],[Profit]]/DataTable[[#This Row],[COGS]]*100&gt;20,"Achived","Not Achived")</f>
        <v>Achived</v>
      </c>
      <c r="P575" s="25">
        <f>DataTable[[#This Row],[Profit]]/DataTable[[#This Row],[COGS]]</f>
        <v>0.36499999999999994</v>
      </c>
      <c r="Q575">
        <f>DataTable[[#This Row],[Manufacturing Price]]*DataTable[[#This Row],[Units Sold]]</f>
        <v>12270</v>
      </c>
      <c r="R575" s="26">
        <f>DataTable[[#This Row],[COGS]]-DataTable[[#This Row],[MC_US]]</f>
        <v>0</v>
      </c>
      <c r="S575" s="26">
        <f>IF(DataTable[[#This Row],[COGS-MC_US]]&gt;=0,DataTable[[#This Row],[Manufacturing Price]],DataTable[[#This Row],[COGS]]/DataTable[[#This Row],[Units Sold]])</f>
        <v>10</v>
      </c>
    </row>
    <row r="576" spans="1:19" ht="12.75" hidden="1" x14ac:dyDescent="0.2">
      <c r="A576" s="20">
        <v>41913</v>
      </c>
      <c r="B576" t="s">
        <v>397</v>
      </c>
      <c r="C576" t="s">
        <v>390</v>
      </c>
      <c r="D576" t="s">
        <v>304</v>
      </c>
      <c r="E576" t="str">
        <f>VLOOKUP(DataTable[[#This Row],[Country]],Market!B:C,2,FALSE)</f>
        <v>Europe</v>
      </c>
      <c r="F576" s="24">
        <v>250</v>
      </c>
      <c r="G576" s="24">
        <v>12270</v>
      </c>
      <c r="H576" s="24">
        <v>15</v>
      </c>
      <c r="I576" s="27">
        <v>1227</v>
      </c>
      <c r="J576" s="24">
        <v>18405</v>
      </c>
      <c r="K576" s="24">
        <v>1656.45</v>
      </c>
      <c r="L576" s="1" t="s">
        <v>124</v>
      </c>
      <c r="M576" s="24">
        <v>16748.55</v>
      </c>
      <c r="N576" s="24">
        <f t="shared" si="8"/>
        <v>4478.5499999999993</v>
      </c>
      <c r="O576" t="str">
        <f>IF(DataTable[[#This Row],[Profit]]/DataTable[[#This Row],[COGS]]*100&gt;20,"Achived","Not Achived")</f>
        <v>Achived</v>
      </c>
      <c r="P576" s="25">
        <f>DataTable[[#This Row],[Profit]]/DataTable[[#This Row],[COGS]]</f>
        <v>0.36499999999999994</v>
      </c>
      <c r="Q576">
        <f>DataTable[[#This Row],[Manufacturing Price]]*DataTable[[#This Row],[Units Sold]]</f>
        <v>306750</v>
      </c>
      <c r="R576" s="26">
        <f>DataTable[[#This Row],[COGS]]-DataTable[[#This Row],[MC_US]]</f>
        <v>-294480</v>
      </c>
      <c r="S576" s="26">
        <f>IF(DataTable[[#This Row],[COGS-MC_US]]&gt;=0,DataTable[[#This Row],[Manufacturing Price]],DataTable[[#This Row],[COGS]]/DataTable[[#This Row],[Units Sold]])</f>
        <v>10</v>
      </c>
    </row>
    <row r="577" spans="1:19" ht="12.75" x14ac:dyDescent="0.2">
      <c r="A577" s="20">
        <v>41974</v>
      </c>
      <c r="B577" t="s">
        <v>391</v>
      </c>
      <c r="C577" t="s">
        <v>390</v>
      </c>
      <c r="D577" t="s">
        <v>304</v>
      </c>
      <c r="E577" t="str">
        <f>VLOOKUP(DataTable[[#This Row],[Country]],Market!B:C,2,FALSE)</f>
        <v>Europe</v>
      </c>
      <c r="F577" s="24">
        <v>5</v>
      </c>
      <c r="G577" s="24">
        <v>20720</v>
      </c>
      <c r="H577" s="24">
        <v>15</v>
      </c>
      <c r="I577" s="27">
        <v>2072</v>
      </c>
      <c r="J577" s="24">
        <v>31080</v>
      </c>
      <c r="K577" s="24">
        <v>3108</v>
      </c>
      <c r="L577" s="1" t="s">
        <v>158</v>
      </c>
      <c r="M577" s="24">
        <v>27972</v>
      </c>
      <c r="N577" s="24">
        <f t="shared" si="8"/>
        <v>7252</v>
      </c>
      <c r="O577" t="str">
        <f>IF(DataTable[[#This Row],[Profit]]/DataTable[[#This Row],[COGS]]*100&gt;20,"Achived","Not Achived")</f>
        <v>Achived</v>
      </c>
      <c r="P577" s="25">
        <f>DataTable[[#This Row],[Profit]]/DataTable[[#This Row],[COGS]]</f>
        <v>0.35</v>
      </c>
      <c r="Q577">
        <f>DataTable[[#This Row],[Manufacturing Price]]*DataTable[[#This Row],[Units Sold]]</f>
        <v>10360</v>
      </c>
      <c r="R577" s="26">
        <f>DataTable[[#This Row],[COGS]]-DataTable[[#This Row],[MC_US]]</f>
        <v>10360</v>
      </c>
      <c r="S577" s="26">
        <f>IF(DataTable[[#This Row],[COGS-MC_US]]&gt;=0,DataTable[[#This Row],[Manufacturing Price]],DataTable[[#This Row],[COGS]]/DataTable[[#This Row],[Units Sold]])</f>
        <v>5</v>
      </c>
    </row>
    <row r="578" spans="1:19" ht="12.75" x14ac:dyDescent="0.2">
      <c r="A578" s="20">
        <v>41548</v>
      </c>
      <c r="B578" t="s">
        <v>395</v>
      </c>
      <c r="C578" t="s">
        <v>390</v>
      </c>
      <c r="D578" t="s">
        <v>304</v>
      </c>
      <c r="E578" t="str">
        <f>VLOOKUP(DataTable[[#This Row],[Country]],Market!B:C,2,FALSE)</f>
        <v>Europe</v>
      </c>
      <c r="F578" s="24">
        <v>10</v>
      </c>
      <c r="G578" s="24">
        <v>21670</v>
      </c>
      <c r="H578" s="24">
        <v>15</v>
      </c>
      <c r="I578" s="27">
        <v>2167</v>
      </c>
      <c r="J578" s="24">
        <v>32505</v>
      </c>
      <c r="K578" s="24">
        <v>3250.5</v>
      </c>
      <c r="L578" s="1" t="s">
        <v>158</v>
      </c>
      <c r="M578" s="24">
        <v>29254.5</v>
      </c>
      <c r="N578" s="24">
        <f t="shared" si="8"/>
        <v>7584.5</v>
      </c>
      <c r="O578" t="str">
        <f>IF(DataTable[[#This Row],[Profit]]/DataTable[[#This Row],[COGS]]*100&gt;20,"Achived","Not Achived")</f>
        <v>Achived</v>
      </c>
      <c r="P578" s="25">
        <f>DataTable[[#This Row],[Profit]]/DataTable[[#This Row],[COGS]]</f>
        <v>0.35</v>
      </c>
      <c r="Q578">
        <f>DataTable[[#This Row],[Manufacturing Price]]*DataTable[[#This Row],[Units Sold]]</f>
        <v>21670</v>
      </c>
      <c r="R578" s="26">
        <f>DataTable[[#This Row],[COGS]]-DataTable[[#This Row],[MC_US]]</f>
        <v>0</v>
      </c>
      <c r="S578" s="26">
        <f>IF(DataTable[[#This Row],[COGS-MC_US]]&gt;=0,DataTable[[#This Row],[Manufacturing Price]],DataTable[[#This Row],[COGS]]/DataTable[[#This Row],[Units Sold]])</f>
        <v>10</v>
      </c>
    </row>
    <row r="579" spans="1:19" ht="12.75" x14ac:dyDescent="0.2">
      <c r="A579" s="20">
        <v>41548</v>
      </c>
      <c r="B579" t="s">
        <v>397</v>
      </c>
      <c r="C579" t="s">
        <v>390</v>
      </c>
      <c r="D579" t="s">
        <v>304</v>
      </c>
      <c r="E579" t="str">
        <f>VLOOKUP(DataTable[[#This Row],[Country]],Market!B:C,2,FALSE)</f>
        <v>Europe</v>
      </c>
      <c r="F579" s="24">
        <v>250</v>
      </c>
      <c r="G579" s="24">
        <v>21670</v>
      </c>
      <c r="H579" s="24">
        <v>15</v>
      </c>
      <c r="I579" s="27">
        <v>2167</v>
      </c>
      <c r="J579" s="24">
        <v>32505</v>
      </c>
      <c r="K579" s="24">
        <v>3250.5</v>
      </c>
      <c r="L579" s="1" t="s">
        <v>158</v>
      </c>
      <c r="M579" s="24">
        <v>29254.5</v>
      </c>
      <c r="N579" s="24">
        <f t="shared" si="8"/>
        <v>7584.5</v>
      </c>
      <c r="O579" t="str">
        <f>IF(DataTable[[#This Row],[Profit]]/DataTable[[#This Row],[COGS]]*100&gt;20,"Achived","Not Achived")</f>
        <v>Achived</v>
      </c>
      <c r="P579" s="25">
        <f>DataTable[[#This Row],[Profit]]/DataTable[[#This Row],[COGS]]</f>
        <v>0.35</v>
      </c>
      <c r="Q579">
        <f>DataTable[[#This Row],[Manufacturing Price]]*DataTable[[#This Row],[Units Sold]]</f>
        <v>541750</v>
      </c>
      <c r="R579" s="26">
        <f>DataTable[[#This Row],[COGS]]-DataTable[[#This Row],[MC_US]]</f>
        <v>-520080</v>
      </c>
      <c r="S579" s="26">
        <f>IF(DataTable[[#This Row],[COGS-MC_US]]&gt;=0,DataTable[[#This Row],[Manufacturing Price]],DataTable[[#This Row],[COGS]]/DataTable[[#This Row],[Units Sold]])</f>
        <v>10</v>
      </c>
    </row>
    <row r="580" spans="1:19" ht="12.75" x14ac:dyDescent="0.2">
      <c r="A580" s="20">
        <v>41974</v>
      </c>
      <c r="B580" t="s">
        <v>398</v>
      </c>
      <c r="C580" t="s">
        <v>390</v>
      </c>
      <c r="D580" t="s">
        <v>304</v>
      </c>
      <c r="E580" t="str">
        <f>VLOOKUP(DataTable[[#This Row],[Country]],Market!B:C,2,FALSE)</f>
        <v>Europe</v>
      </c>
      <c r="F580" s="24">
        <v>260</v>
      </c>
      <c r="G580" s="24">
        <v>20720</v>
      </c>
      <c r="H580" s="24">
        <v>15</v>
      </c>
      <c r="I580" s="27">
        <v>2072</v>
      </c>
      <c r="J580" s="24">
        <v>31080</v>
      </c>
      <c r="K580" s="24">
        <v>3108</v>
      </c>
      <c r="L580" s="1" t="s">
        <v>158</v>
      </c>
      <c r="M580" s="24">
        <v>27972</v>
      </c>
      <c r="N580" s="24">
        <f t="shared" ref="N580:N643" si="9">M580-G580</f>
        <v>7252</v>
      </c>
      <c r="O580" t="str">
        <f>IF(DataTable[[#This Row],[Profit]]/DataTable[[#This Row],[COGS]]*100&gt;20,"Achived","Not Achived")</f>
        <v>Achived</v>
      </c>
      <c r="P580" s="25">
        <f>DataTable[[#This Row],[Profit]]/DataTable[[#This Row],[COGS]]</f>
        <v>0.35</v>
      </c>
      <c r="Q580">
        <f>DataTable[[#This Row],[Manufacturing Price]]*DataTable[[#This Row],[Units Sold]]</f>
        <v>538720</v>
      </c>
      <c r="R580" s="26">
        <f>DataTable[[#This Row],[COGS]]-DataTable[[#This Row],[MC_US]]</f>
        <v>-518000</v>
      </c>
      <c r="S580" s="26">
        <f>IF(DataTable[[#This Row],[COGS-MC_US]]&gt;=0,DataTable[[#This Row],[Manufacturing Price]],DataTable[[#This Row],[COGS]]/DataTable[[#This Row],[Units Sold]])</f>
        <v>10</v>
      </c>
    </row>
    <row r="581" spans="1:19" ht="12.75" x14ac:dyDescent="0.2">
      <c r="A581" s="20">
        <v>41821</v>
      </c>
      <c r="B581" t="s">
        <v>397</v>
      </c>
      <c r="C581" t="s">
        <v>390</v>
      </c>
      <c r="D581" t="s">
        <v>304</v>
      </c>
      <c r="E581" t="str">
        <f>VLOOKUP(DataTable[[#This Row],[Country]],Market!B:C,2,FALSE)</f>
        <v>Europe</v>
      </c>
      <c r="F581" s="24">
        <v>250</v>
      </c>
      <c r="G581" s="24">
        <v>38745</v>
      </c>
      <c r="H581" s="24">
        <v>15</v>
      </c>
      <c r="I581" s="27">
        <v>3874.5</v>
      </c>
      <c r="J581" s="24">
        <v>58117.5</v>
      </c>
      <c r="K581" s="24">
        <v>6974.1</v>
      </c>
      <c r="L581" s="1" t="s">
        <v>158</v>
      </c>
      <c r="M581" s="24">
        <v>51143.4</v>
      </c>
      <c r="N581" s="24">
        <f t="shared" si="9"/>
        <v>12398.400000000001</v>
      </c>
      <c r="O581" t="str">
        <f>IF(DataTable[[#This Row],[Profit]]/DataTable[[#This Row],[COGS]]*100&gt;20,"Achived","Not Achived")</f>
        <v>Achived</v>
      </c>
      <c r="P581" s="25">
        <f>DataTable[[#This Row],[Profit]]/DataTable[[#This Row],[COGS]]</f>
        <v>0.32000000000000006</v>
      </c>
      <c r="Q581">
        <f>DataTable[[#This Row],[Manufacturing Price]]*DataTable[[#This Row],[Units Sold]]</f>
        <v>968625</v>
      </c>
      <c r="R581" s="26">
        <f>DataTable[[#This Row],[COGS]]-DataTable[[#This Row],[MC_US]]</f>
        <v>-929880</v>
      </c>
      <c r="S581" s="26">
        <f>IF(DataTable[[#This Row],[COGS-MC_US]]&gt;=0,DataTable[[#This Row],[Manufacturing Price]],DataTable[[#This Row],[COGS]]/DataTable[[#This Row],[Units Sold]])</f>
        <v>10</v>
      </c>
    </row>
    <row r="582" spans="1:19" ht="12.75" x14ac:dyDescent="0.2">
      <c r="A582" s="20">
        <v>41640</v>
      </c>
      <c r="B582" t="s">
        <v>396</v>
      </c>
      <c r="C582" t="s">
        <v>390</v>
      </c>
      <c r="D582" t="s">
        <v>304</v>
      </c>
      <c r="E582" t="str">
        <f>VLOOKUP(DataTable[[#This Row],[Country]],Market!B:C,2,FALSE)</f>
        <v>Europe</v>
      </c>
      <c r="F582" s="24">
        <v>120</v>
      </c>
      <c r="G582" s="24">
        <v>39975</v>
      </c>
      <c r="H582" s="24">
        <v>15</v>
      </c>
      <c r="I582" s="27">
        <v>3997.5</v>
      </c>
      <c r="J582" s="24">
        <v>59962.5</v>
      </c>
      <c r="K582" s="24">
        <v>7795.13</v>
      </c>
      <c r="L582" s="1" t="s">
        <v>158</v>
      </c>
      <c r="M582" s="24">
        <v>52167.38</v>
      </c>
      <c r="N582" s="24">
        <f t="shared" si="9"/>
        <v>12192.379999999997</v>
      </c>
      <c r="O582" t="str">
        <f>IF(DataTable[[#This Row],[Profit]]/DataTable[[#This Row],[COGS]]*100&gt;20,"Achived","Not Achived")</f>
        <v>Achived</v>
      </c>
      <c r="P582" s="25">
        <f>DataTable[[#This Row],[Profit]]/DataTable[[#This Row],[COGS]]</f>
        <v>0.30500012507817381</v>
      </c>
      <c r="Q582">
        <f>DataTable[[#This Row],[Manufacturing Price]]*DataTable[[#This Row],[Units Sold]]</f>
        <v>479700</v>
      </c>
      <c r="R582" s="26">
        <f>DataTable[[#This Row],[COGS]]-DataTable[[#This Row],[MC_US]]</f>
        <v>-439725</v>
      </c>
      <c r="S582" s="26">
        <f>IF(DataTable[[#This Row],[COGS-MC_US]]&gt;=0,DataTable[[#This Row],[Manufacturing Price]],DataTable[[#This Row],[COGS]]/DataTable[[#This Row],[Units Sold]])</f>
        <v>10</v>
      </c>
    </row>
    <row r="583" spans="1:19" ht="12.75" x14ac:dyDescent="0.2">
      <c r="A583" s="20">
        <v>41760</v>
      </c>
      <c r="B583" t="s">
        <v>396</v>
      </c>
      <c r="C583" t="s">
        <v>390</v>
      </c>
      <c r="D583" t="s">
        <v>304</v>
      </c>
      <c r="E583" t="str">
        <f>VLOOKUP(DataTable[[#This Row],[Country]],Market!B:C,2,FALSE)</f>
        <v>Europe</v>
      </c>
      <c r="F583" s="24">
        <v>120</v>
      </c>
      <c r="G583" s="24">
        <v>28260</v>
      </c>
      <c r="H583" s="24">
        <v>15</v>
      </c>
      <c r="I583" s="27">
        <v>2826</v>
      </c>
      <c r="J583" s="24">
        <v>42390</v>
      </c>
      <c r="K583" s="24">
        <v>6358.5</v>
      </c>
      <c r="L583" s="1" t="s">
        <v>158</v>
      </c>
      <c r="M583" s="24">
        <v>36031.5</v>
      </c>
      <c r="N583" s="24">
        <f t="shared" si="9"/>
        <v>7771.5</v>
      </c>
      <c r="O583" t="str">
        <f>IF(DataTable[[#This Row],[Profit]]/DataTable[[#This Row],[COGS]]*100&gt;20,"Achived","Not Achived")</f>
        <v>Achived</v>
      </c>
      <c r="P583" s="25">
        <f>DataTable[[#This Row],[Profit]]/DataTable[[#This Row],[COGS]]</f>
        <v>0.27500000000000002</v>
      </c>
      <c r="Q583">
        <f>DataTable[[#This Row],[Manufacturing Price]]*DataTable[[#This Row],[Units Sold]]</f>
        <v>339120</v>
      </c>
      <c r="R583" s="26">
        <f>DataTable[[#This Row],[COGS]]-DataTable[[#This Row],[MC_US]]</f>
        <v>-310860</v>
      </c>
      <c r="S583" s="26">
        <f>IF(DataTable[[#This Row],[COGS-MC_US]]&gt;=0,DataTable[[#This Row],[Manufacturing Price]],DataTable[[#This Row],[COGS]]/DataTable[[#This Row],[Units Sold]])</f>
        <v>10</v>
      </c>
    </row>
    <row r="584" spans="1:19" ht="12.75" hidden="1" x14ac:dyDescent="0.2">
      <c r="A584" s="20">
        <v>41609</v>
      </c>
      <c r="B584" t="s">
        <v>395</v>
      </c>
      <c r="C584" t="s">
        <v>390</v>
      </c>
      <c r="D584" t="s">
        <v>341</v>
      </c>
      <c r="E584" t="str">
        <f>VLOOKUP(DataTable[[#This Row],[Country]],Market!B:C,2,FALSE)</f>
        <v>North America</v>
      </c>
      <c r="F584" s="24">
        <v>10</v>
      </c>
      <c r="G584" s="24">
        <v>21520</v>
      </c>
      <c r="H584" s="24">
        <v>15</v>
      </c>
      <c r="I584" s="27">
        <v>2152</v>
      </c>
      <c r="J584" s="24">
        <v>32280</v>
      </c>
      <c r="K584" s="24">
        <v>0</v>
      </c>
      <c r="L584" s="1" t="s">
        <v>12</v>
      </c>
      <c r="M584" s="24">
        <v>32280</v>
      </c>
      <c r="N584" s="24">
        <f t="shared" si="9"/>
        <v>10760</v>
      </c>
      <c r="O584" t="str">
        <f>IF(DataTable[[#This Row],[Profit]]/DataTable[[#This Row],[COGS]]*100&gt;20,"Achived","Not Achived")</f>
        <v>Achived</v>
      </c>
      <c r="P584" s="25">
        <f>DataTable[[#This Row],[Profit]]/DataTable[[#This Row],[COGS]]</f>
        <v>0.5</v>
      </c>
      <c r="Q584">
        <f>DataTable[[#This Row],[Manufacturing Price]]*DataTable[[#This Row],[Units Sold]]</f>
        <v>21520</v>
      </c>
      <c r="R584" s="26">
        <f>DataTable[[#This Row],[COGS]]-DataTable[[#This Row],[MC_US]]</f>
        <v>0</v>
      </c>
      <c r="S584" s="26">
        <f>IF(DataTable[[#This Row],[COGS-MC_US]]&gt;=0,DataTable[[#This Row],[Manufacturing Price]],DataTable[[#This Row],[COGS]]/DataTable[[#This Row],[Units Sold]])</f>
        <v>10</v>
      </c>
    </row>
    <row r="585" spans="1:19" ht="12.75" hidden="1" x14ac:dyDescent="0.2">
      <c r="A585" s="20">
        <v>41671</v>
      </c>
      <c r="B585" t="s">
        <v>395</v>
      </c>
      <c r="C585" t="s">
        <v>390</v>
      </c>
      <c r="D585" t="s">
        <v>341</v>
      </c>
      <c r="E585" t="str">
        <f>VLOOKUP(DataTable[[#This Row],[Country]],Market!B:C,2,FALSE)</f>
        <v>North America</v>
      </c>
      <c r="F585" s="24">
        <v>10</v>
      </c>
      <c r="G585" s="24">
        <v>23630</v>
      </c>
      <c r="H585" s="24">
        <v>15</v>
      </c>
      <c r="I585" s="27">
        <v>2363</v>
      </c>
      <c r="J585" s="24">
        <v>35445</v>
      </c>
      <c r="K585" s="24">
        <v>708.9</v>
      </c>
      <c r="L585" s="1" t="s">
        <v>57</v>
      </c>
      <c r="M585" s="24">
        <v>34736.1</v>
      </c>
      <c r="N585" s="24">
        <f t="shared" si="9"/>
        <v>11106.099999999999</v>
      </c>
      <c r="O585" t="str">
        <f>IF(DataTable[[#This Row],[Profit]]/DataTable[[#This Row],[COGS]]*100&gt;20,"Achived","Not Achived")</f>
        <v>Achived</v>
      </c>
      <c r="P585" s="25">
        <f>DataTable[[#This Row],[Profit]]/DataTable[[#This Row],[COGS]]</f>
        <v>0.46999999999999992</v>
      </c>
      <c r="Q585">
        <f>DataTable[[#This Row],[Manufacturing Price]]*DataTable[[#This Row],[Units Sold]]</f>
        <v>23630</v>
      </c>
      <c r="R585" s="26">
        <f>DataTable[[#This Row],[COGS]]-DataTable[[#This Row],[MC_US]]</f>
        <v>0</v>
      </c>
      <c r="S585" s="26">
        <f>IF(DataTable[[#This Row],[COGS-MC_US]]&gt;=0,DataTable[[#This Row],[Manufacturing Price]],DataTable[[#This Row],[COGS]]/DataTable[[#This Row],[Units Sold]])</f>
        <v>10</v>
      </c>
    </row>
    <row r="586" spans="1:19" ht="12.75" hidden="1" x14ac:dyDescent="0.2">
      <c r="A586" s="20">
        <v>41699</v>
      </c>
      <c r="B586" t="s">
        <v>391</v>
      </c>
      <c r="C586" t="s">
        <v>390</v>
      </c>
      <c r="D586" t="s">
        <v>341</v>
      </c>
      <c r="E586" t="str">
        <f>VLOOKUP(DataTable[[#This Row],[Country]],Market!B:C,2,FALSE)</f>
        <v>North America</v>
      </c>
      <c r="F586" s="24">
        <v>5</v>
      </c>
      <c r="G586" s="24">
        <v>19670</v>
      </c>
      <c r="H586" s="24">
        <v>15</v>
      </c>
      <c r="I586" s="27">
        <v>1967</v>
      </c>
      <c r="J586" s="24">
        <v>29505</v>
      </c>
      <c r="K586" s="24">
        <v>1180.2</v>
      </c>
      <c r="L586" s="1" t="s">
        <v>57</v>
      </c>
      <c r="M586" s="24">
        <v>28324.799999999999</v>
      </c>
      <c r="N586" s="24">
        <f t="shared" si="9"/>
        <v>8654.7999999999993</v>
      </c>
      <c r="O586" t="str">
        <f>IF(DataTable[[#This Row],[Profit]]/DataTable[[#This Row],[COGS]]*100&gt;20,"Achived","Not Achived")</f>
        <v>Achived</v>
      </c>
      <c r="P586" s="25">
        <f>DataTable[[#This Row],[Profit]]/DataTable[[#This Row],[COGS]]</f>
        <v>0.43999999999999995</v>
      </c>
      <c r="Q586">
        <f>DataTable[[#This Row],[Manufacturing Price]]*DataTable[[#This Row],[Units Sold]]</f>
        <v>9835</v>
      </c>
      <c r="R586" s="26">
        <f>DataTable[[#This Row],[COGS]]-DataTable[[#This Row],[MC_US]]</f>
        <v>9835</v>
      </c>
      <c r="S586" s="26">
        <f>IF(DataTable[[#This Row],[COGS-MC_US]]&gt;=0,DataTable[[#This Row],[Manufacturing Price]],DataTable[[#This Row],[COGS]]/DataTable[[#This Row],[Units Sold]])</f>
        <v>5</v>
      </c>
    </row>
    <row r="587" spans="1:19" ht="12.75" hidden="1" x14ac:dyDescent="0.2">
      <c r="A587" s="20">
        <v>41883</v>
      </c>
      <c r="B587" t="s">
        <v>395</v>
      </c>
      <c r="C587" t="s">
        <v>390</v>
      </c>
      <c r="D587" t="s">
        <v>341</v>
      </c>
      <c r="E587" t="str">
        <f>VLOOKUP(DataTable[[#This Row],[Country]],Market!B:C,2,FALSE)</f>
        <v>North America</v>
      </c>
      <c r="F587" s="24">
        <v>10</v>
      </c>
      <c r="G587" s="24">
        <v>2180</v>
      </c>
      <c r="H587" s="24">
        <v>15</v>
      </c>
      <c r="I587" s="27">
        <v>218</v>
      </c>
      <c r="J587" s="24">
        <v>3270</v>
      </c>
      <c r="K587" s="24">
        <v>130.80000000000001</v>
      </c>
      <c r="L587" s="1" t="s">
        <v>57</v>
      </c>
      <c r="M587" s="24">
        <v>3139.2</v>
      </c>
      <c r="N587" s="24">
        <f t="shared" si="9"/>
        <v>959.19999999999982</v>
      </c>
      <c r="O587" t="str">
        <f>IF(DataTable[[#This Row],[Profit]]/DataTable[[#This Row],[COGS]]*100&gt;20,"Achived","Not Achived")</f>
        <v>Achived</v>
      </c>
      <c r="P587" s="25">
        <f>DataTable[[#This Row],[Profit]]/DataTable[[#This Row],[COGS]]</f>
        <v>0.43999999999999989</v>
      </c>
      <c r="Q587">
        <f>DataTable[[#This Row],[Manufacturing Price]]*DataTable[[#This Row],[Units Sold]]</f>
        <v>2180</v>
      </c>
      <c r="R587" s="26">
        <f>DataTable[[#This Row],[COGS]]-DataTable[[#This Row],[MC_US]]</f>
        <v>0</v>
      </c>
      <c r="S587" s="26">
        <f>IF(DataTable[[#This Row],[COGS-MC_US]]&gt;=0,DataTable[[#This Row],[Manufacturing Price]],DataTable[[#This Row],[COGS]]/DataTable[[#This Row],[Units Sold]])</f>
        <v>10</v>
      </c>
    </row>
    <row r="588" spans="1:19" ht="12.75" hidden="1" x14ac:dyDescent="0.2">
      <c r="A588" s="20">
        <v>41791</v>
      </c>
      <c r="B588" t="s">
        <v>389</v>
      </c>
      <c r="C588" t="s">
        <v>390</v>
      </c>
      <c r="D588" t="s">
        <v>341</v>
      </c>
      <c r="E588" t="str">
        <f>VLOOKUP(DataTable[[#This Row],[Country]],Market!B:C,2,FALSE)</f>
        <v>North America</v>
      </c>
      <c r="F588" s="24">
        <v>3</v>
      </c>
      <c r="G588" s="24">
        <v>28440</v>
      </c>
      <c r="H588" s="24">
        <v>15</v>
      </c>
      <c r="I588" s="27">
        <v>2844</v>
      </c>
      <c r="J588" s="24">
        <v>42660</v>
      </c>
      <c r="K588" s="24">
        <v>2559.6</v>
      </c>
      <c r="L588" s="1" t="s">
        <v>124</v>
      </c>
      <c r="M588" s="24">
        <v>40100.400000000001</v>
      </c>
      <c r="N588" s="24">
        <f t="shared" si="9"/>
        <v>11660.400000000001</v>
      </c>
      <c r="O588" t="str">
        <f>IF(DataTable[[#This Row],[Profit]]/DataTable[[#This Row],[COGS]]*100&gt;20,"Achived","Not Achived")</f>
        <v>Achived</v>
      </c>
      <c r="P588" s="25">
        <f>DataTable[[#This Row],[Profit]]/DataTable[[#This Row],[COGS]]</f>
        <v>0.41000000000000003</v>
      </c>
      <c r="Q588">
        <f>DataTable[[#This Row],[Manufacturing Price]]*DataTable[[#This Row],[Units Sold]]</f>
        <v>8532</v>
      </c>
      <c r="R588" s="26">
        <f>DataTable[[#This Row],[COGS]]-DataTable[[#This Row],[MC_US]]</f>
        <v>19908</v>
      </c>
      <c r="S588" s="26">
        <f>IF(DataTable[[#This Row],[COGS-MC_US]]&gt;=0,DataTable[[#This Row],[Manufacturing Price]],DataTable[[#This Row],[COGS]]/DataTable[[#This Row],[Units Sold]])</f>
        <v>3</v>
      </c>
    </row>
    <row r="589" spans="1:19" ht="12.75" hidden="1" x14ac:dyDescent="0.2">
      <c r="A589" s="20">
        <v>41791</v>
      </c>
      <c r="B589" t="s">
        <v>397</v>
      </c>
      <c r="C589" t="s">
        <v>390</v>
      </c>
      <c r="D589" t="s">
        <v>341</v>
      </c>
      <c r="E589" t="str">
        <f>VLOOKUP(DataTable[[#This Row],[Country]],Market!B:C,2,FALSE)</f>
        <v>North America</v>
      </c>
      <c r="F589" s="24">
        <v>250</v>
      </c>
      <c r="G589" s="24">
        <v>28440</v>
      </c>
      <c r="H589" s="24">
        <v>15</v>
      </c>
      <c r="I589" s="27">
        <v>2844</v>
      </c>
      <c r="J589" s="24">
        <v>42660</v>
      </c>
      <c r="K589" s="24">
        <v>2559.6</v>
      </c>
      <c r="L589" s="1" t="s">
        <v>124</v>
      </c>
      <c r="M589" s="24">
        <v>40100.400000000001</v>
      </c>
      <c r="N589" s="24">
        <f t="shared" si="9"/>
        <v>11660.400000000001</v>
      </c>
      <c r="O589" t="str">
        <f>IF(DataTable[[#This Row],[Profit]]/DataTable[[#This Row],[COGS]]*100&gt;20,"Achived","Not Achived")</f>
        <v>Achived</v>
      </c>
      <c r="P589" s="25">
        <f>DataTable[[#This Row],[Profit]]/DataTable[[#This Row],[COGS]]</f>
        <v>0.41000000000000003</v>
      </c>
      <c r="Q589">
        <f>DataTable[[#This Row],[Manufacturing Price]]*DataTable[[#This Row],[Units Sold]]</f>
        <v>711000</v>
      </c>
      <c r="R589" s="26">
        <f>DataTable[[#This Row],[COGS]]-DataTable[[#This Row],[MC_US]]</f>
        <v>-682560</v>
      </c>
      <c r="S589" s="26">
        <f>IF(DataTable[[#This Row],[COGS-MC_US]]&gt;=0,DataTable[[#This Row],[Manufacturing Price]],DataTable[[#This Row],[COGS]]/DataTable[[#This Row],[Units Sold]])</f>
        <v>10</v>
      </c>
    </row>
    <row r="590" spans="1:19" ht="12.75" hidden="1" x14ac:dyDescent="0.2">
      <c r="A590" s="20">
        <v>41760</v>
      </c>
      <c r="B590" t="s">
        <v>396</v>
      </c>
      <c r="C590" t="s">
        <v>390</v>
      </c>
      <c r="D590" t="s">
        <v>341</v>
      </c>
      <c r="E590" t="str">
        <f>VLOOKUP(DataTable[[#This Row],[Country]],Market!B:C,2,FALSE)</f>
        <v>North America</v>
      </c>
      <c r="F590" s="24">
        <v>120</v>
      </c>
      <c r="G590" s="24">
        <v>12620</v>
      </c>
      <c r="H590" s="24">
        <v>15</v>
      </c>
      <c r="I590" s="27">
        <v>1262</v>
      </c>
      <c r="J590" s="24">
        <v>18930</v>
      </c>
      <c r="K590" s="24">
        <v>1325.1</v>
      </c>
      <c r="L590" s="1" t="s">
        <v>124</v>
      </c>
      <c r="M590" s="24">
        <v>17604.900000000001</v>
      </c>
      <c r="N590" s="24">
        <f t="shared" si="9"/>
        <v>4984.9000000000015</v>
      </c>
      <c r="O590" t="str">
        <f>IF(DataTable[[#This Row],[Profit]]/DataTable[[#This Row],[COGS]]*100&gt;20,"Achived","Not Achived")</f>
        <v>Achived</v>
      </c>
      <c r="P590" s="25">
        <f>DataTable[[#This Row],[Profit]]/DataTable[[#This Row],[COGS]]</f>
        <v>0.39500000000000013</v>
      </c>
      <c r="Q590">
        <f>DataTable[[#This Row],[Manufacturing Price]]*DataTable[[#This Row],[Units Sold]]</f>
        <v>151440</v>
      </c>
      <c r="R590" s="26">
        <f>DataTable[[#This Row],[COGS]]-DataTable[[#This Row],[MC_US]]</f>
        <v>-138820</v>
      </c>
      <c r="S590" s="26">
        <f>IF(DataTable[[#This Row],[COGS-MC_US]]&gt;=0,DataTable[[#This Row],[Manufacturing Price]],DataTable[[#This Row],[COGS]]/DataTable[[#This Row],[Units Sold]])</f>
        <v>10</v>
      </c>
    </row>
    <row r="591" spans="1:19" ht="12.75" hidden="1" x14ac:dyDescent="0.2">
      <c r="A591" s="20">
        <v>41821</v>
      </c>
      <c r="B591" t="s">
        <v>398</v>
      </c>
      <c r="C591" t="s">
        <v>390</v>
      </c>
      <c r="D591" t="s">
        <v>341</v>
      </c>
      <c r="E591" t="str">
        <f>VLOOKUP(DataTable[[#This Row],[Country]],Market!B:C,2,FALSE)</f>
        <v>North America</v>
      </c>
      <c r="F591" s="24">
        <v>260</v>
      </c>
      <c r="G591" s="24">
        <v>16305</v>
      </c>
      <c r="H591" s="24">
        <v>15</v>
      </c>
      <c r="I591" s="27">
        <v>1630.5</v>
      </c>
      <c r="J591" s="24">
        <v>24457.5</v>
      </c>
      <c r="K591" s="24">
        <v>2201.1799999999998</v>
      </c>
      <c r="L591" s="1" t="s">
        <v>124</v>
      </c>
      <c r="M591" s="24">
        <v>22256.33</v>
      </c>
      <c r="N591" s="24">
        <f t="shared" si="9"/>
        <v>5951.3300000000017</v>
      </c>
      <c r="O591" t="str">
        <f>IF(DataTable[[#This Row],[Profit]]/DataTable[[#This Row],[COGS]]*100&gt;20,"Achived","Not Achived")</f>
        <v>Achived</v>
      </c>
      <c r="P591" s="25">
        <f>DataTable[[#This Row],[Profit]]/DataTable[[#This Row],[COGS]]</f>
        <v>0.36500030665440059</v>
      </c>
      <c r="Q591">
        <f>DataTable[[#This Row],[Manufacturing Price]]*DataTable[[#This Row],[Units Sold]]</f>
        <v>423930</v>
      </c>
      <c r="R591" s="26">
        <f>DataTable[[#This Row],[COGS]]-DataTable[[#This Row],[MC_US]]</f>
        <v>-407625</v>
      </c>
      <c r="S591" s="26">
        <f>IF(DataTable[[#This Row],[COGS-MC_US]]&gt;=0,DataTable[[#This Row],[Manufacturing Price]],DataTable[[#This Row],[COGS]]/DataTable[[#This Row],[Units Sold]])</f>
        <v>10</v>
      </c>
    </row>
    <row r="592" spans="1:19" ht="12.75" x14ac:dyDescent="0.2">
      <c r="A592" s="20">
        <v>41640</v>
      </c>
      <c r="B592" t="s">
        <v>396</v>
      </c>
      <c r="C592" t="s">
        <v>390</v>
      </c>
      <c r="D592" t="s">
        <v>341</v>
      </c>
      <c r="E592" t="str">
        <f>VLOOKUP(DataTable[[#This Row],[Country]],Market!B:C,2,FALSE)</f>
        <v>North America</v>
      </c>
      <c r="F592" s="24">
        <v>120</v>
      </c>
      <c r="G592" s="24">
        <v>3840</v>
      </c>
      <c r="H592" s="24">
        <v>15</v>
      </c>
      <c r="I592" s="27">
        <v>384</v>
      </c>
      <c r="J592" s="24">
        <v>5760</v>
      </c>
      <c r="K592" s="24">
        <v>633.6</v>
      </c>
      <c r="L592" s="1" t="s">
        <v>158</v>
      </c>
      <c r="M592" s="24">
        <v>5126.3999999999996</v>
      </c>
      <c r="N592" s="24">
        <f t="shared" si="9"/>
        <v>1286.3999999999996</v>
      </c>
      <c r="O592" t="str">
        <f>IF(DataTable[[#This Row],[Profit]]/DataTable[[#This Row],[COGS]]*100&gt;20,"Achived","Not Achived")</f>
        <v>Achived</v>
      </c>
      <c r="P592" s="25">
        <f>DataTable[[#This Row],[Profit]]/DataTable[[#This Row],[COGS]]</f>
        <v>0.33499999999999991</v>
      </c>
      <c r="Q592">
        <f>DataTable[[#This Row],[Manufacturing Price]]*DataTable[[#This Row],[Units Sold]]</f>
        <v>46080</v>
      </c>
      <c r="R592" s="26">
        <f>DataTable[[#This Row],[COGS]]-DataTable[[#This Row],[MC_US]]</f>
        <v>-42240</v>
      </c>
      <c r="S592" s="26">
        <f>IF(DataTable[[#This Row],[COGS-MC_US]]&gt;=0,DataTable[[#This Row],[Manufacturing Price]],DataTable[[#This Row],[COGS]]/DataTable[[#This Row],[Units Sold]])</f>
        <v>10</v>
      </c>
    </row>
    <row r="593" spans="1:19" ht="12.75" x14ac:dyDescent="0.2">
      <c r="A593" s="20">
        <v>41579</v>
      </c>
      <c r="B593" t="s">
        <v>389</v>
      </c>
      <c r="C593" t="s">
        <v>390</v>
      </c>
      <c r="D593" t="s">
        <v>341</v>
      </c>
      <c r="E593" t="str">
        <f>VLOOKUP(DataTable[[#This Row],[Country]],Market!B:C,2,FALSE)</f>
        <v>North America</v>
      </c>
      <c r="F593" s="24">
        <v>3</v>
      </c>
      <c r="G593" s="24">
        <v>15600</v>
      </c>
      <c r="H593" s="24">
        <v>15</v>
      </c>
      <c r="I593" s="27">
        <v>1560</v>
      </c>
      <c r="J593" s="24">
        <v>23400</v>
      </c>
      <c r="K593" s="24">
        <v>2574</v>
      </c>
      <c r="L593" s="1" t="s">
        <v>158</v>
      </c>
      <c r="M593" s="24">
        <v>20826</v>
      </c>
      <c r="N593" s="24">
        <f t="shared" si="9"/>
        <v>5226</v>
      </c>
      <c r="O593" t="str">
        <f>IF(DataTable[[#This Row],[Profit]]/DataTable[[#This Row],[COGS]]*100&gt;20,"Achived","Not Achived")</f>
        <v>Achived</v>
      </c>
      <c r="P593" s="25">
        <f>DataTable[[#This Row],[Profit]]/DataTable[[#This Row],[COGS]]</f>
        <v>0.33500000000000002</v>
      </c>
      <c r="Q593">
        <f>DataTable[[#This Row],[Manufacturing Price]]*DataTable[[#This Row],[Units Sold]]</f>
        <v>4680</v>
      </c>
      <c r="R593" s="26">
        <f>DataTable[[#This Row],[COGS]]-DataTable[[#This Row],[MC_US]]</f>
        <v>10920</v>
      </c>
      <c r="S593" s="26">
        <f>IF(DataTable[[#This Row],[COGS-MC_US]]&gt;=0,DataTable[[#This Row],[Manufacturing Price]],DataTable[[#This Row],[COGS]]/DataTable[[#This Row],[Units Sold]])</f>
        <v>3</v>
      </c>
    </row>
    <row r="594" spans="1:19" ht="12.75" x14ac:dyDescent="0.2">
      <c r="A594" s="20">
        <v>41944</v>
      </c>
      <c r="B594" t="s">
        <v>389</v>
      </c>
      <c r="C594" t="s">
        <v>390</v>
      </c>
      <c r="D594" t="s">
        <v>341</v>
      </c>
      <c r="E594" t="str">
        <f>VLOOKUP(DataTable[[#This Row],[Country]],Market!B:C,2,FALSE)</f>
        <v>North America</v>
      </c>
      <c r="F594" s="24">
        <v>3</v>
      </c>
      <c r="G594" s="24">
        <v>26890</v>
      </c>
      <c r="H594" s="24">
        <v>15</v>
      </c>
      <c r="I594" s="27">
        <v>2689</v>
      </c>
      <c r="J594" s="24">
        <v>40335</v>
      </c>
      <c r="K594" s="24">
        <v>4840.2</v>
      </c>
      <c r="L594" s="1" t="s">
        <v>158</v>
      </c>
      <c r="M594" s="24">
        <v>35494.800000000003</v>
      </c>
      <c r="N594" s="24">
        <f t="shared" si="9"/>
        <v>8604.8000000000029</v>
      </c>
      <c r="O594" t="str">
        <f>IF(DataTable[[#This Row],[Profit]]/DataTable[[#This Row],[COGS]]*100&gt;20,"Achived","Not Achived")</f>
        <v>Achived</v>
      </c>
      <c r="P594" s="25">
        <f>DataTable[[#This Row],[Profit]]/DataTable[[#This Row],[COGS]]</f>
        <v>0.32000000000000012</v>
      </c>
      <c r="Q594">
        <f>DataTable[[#This Row],[Manufacturing Price]]*DataTable[[#This Row],[Units Sold]]</f>
        <v>8067</v>
      </c>
      <c r="R594" s="26">
        <f>DataTable[[#This Row],[COGS]]-DataTable[[#This Row],[MC_US]]</f>
        <v>18823</v>
      </c>
      <c r="S594" s="26">
        <f>IF(DataTable[[#This Row],[COGS-MC_US]]&gt;=0,DataTable[[#This Row],[Manufacturing Price]],DataTable[[#This Row],[COGS]]/DataTable[[#This Row],[Units Sold]])</f>
        <v>3</v>
      </c>
    </row>
    <row r="595" spans="1:19" ht="12.75" x14ac:dyDescent="0.2">
      <c r="A595" s="20">
        <v>41913</v>
      </c>
      <c r="B595" t="s">
        <v>395</v>
      </c>
      <c r="C595" t="s">
        <v>390</v>
      </c>
      <c r="D595" t="s">
        <v>341</v>
      </c>
      <c r="E595" t="str">
        <f>VLOOKUP(DataTable[[#This Row],[Country]],Market!B:C,2,FALSE)</f>
        <v>North America</v>
      </c>
      <c r="F595" s="24">
        <v>10</v>
      </c>
      <c r="G595" s="24">
        <v>15650</v>
      </c>
      <c r="H595" s="24">
        <v>15</v>
      </c>
      <c r="I595" s="27">
        <v>1565</v>
      </c>
      <c r="J595" s="24">
        <v>23475</v>
      </c>
      <c r="K595" s="24">
        <v>3051.75</v>
      </c>
      <c r="L595" s="1" t="s">
        <v>158</v>
      </c>
      <c r="M595" s="24">
        <v>20423.25</v>
      </c>
      <c r="N595" s="24">
        <f t="shared" si="9"/>
        <v>4773.25</v>
      </c>
      <c r="O595" t="str">
        <f>IF(DataTable[[#This Row],[Profit]]/DataTable[[#This Row],[COGS]]*100&gt;20,"Achived","Not Achived")</f>
        <v>Achived</v>
      </c>
      <c r="P595" s="25">
        <f>DataTable[[#This Row],[Profit]]/DataTable[[#This Row],[COGS]]</f>
        <v>0.30499999999999999</v>
      </c>
      <c r="Q595">
        <f>DataTable[[#This Row],[Manufacturing Price]]*DataTable[[#This Row],[Units Sold]]</f>
        <v>15650</v>
      </c>
      <c r="R595" s="26">
        <f>DataTable[[#This Row],[COGS]]-DataTable[[#This Row],[MC_US]]</f>
        <v>0</v>
      </c>
      <c r="S595" s="26">
        <f>IF(DataTable[[#This Row],[COGS-MC_US]]&gt;=0,DataTable[[#This Row],[Manufacturing Price]],DataTable[[#This Row],[COGS]]/DataTable[[#This Row],[Units Sold]])</f>
        <v>10</v>
      </c>
    </row>
    <row r="596" spans="1:19" ht="12.75" x14ac:dyDescent="0.2">
      <c r="A596" s="20">
        <v>41913</v>
      </c>
      <c r="B596" t="s">
        <v>397</v>
      </c>
      <c r="C596" t="s">
        <v>390</v>
      </c>
      <c r="D596" t="s">
        <v>341</v>
      </c>
      <c r="E596" t="str">
        <f>VLOOKUP(DataTable[[#This Row],[Country]],Market!B:C,2,FALSE)</f>
        <v>North America</v>
      </c>
      <c r="F596" s="24">
        <v>250</v>
      </c>
      <c r="G596" s="24">
        <v>15650</v>
      </c>
      <c r="H596" s="24">
        <v>15</v>
      </c>
      <c r="I596" s="27">
        <v>1565</v>
      </c>
      <c r="J596" s="24">
        <v>23475</v>
      </c>
      <c r="K596" s="24">
        <v>3051.75</v>
      </c>
      <c r="L596" s="1" t="s">
        <v>158</v>
      </c>
      <c r="M596" s="24">
        <v>20423.25</v>
      </c>
      <c r="N596" s="24">
        <f t="shared" si="9"/>
        <v>4773.25</v>
      </c>
      <c r="O596" t="str">
        <f>IF(DataTable[[#This Row],[Profit]]/DataTable[[#This Row],[COGS]]*100&gt;20,"Achived","Not Achived")</f>
        <v>Achived</v>
      </c>
      <c r="P596" s="25">
        <f>DataTable[[#This Row],[Profit]]/DataTable[[#This Row],[COGS]]</f>
        <v>0.30499999999999999</v>
      </c>
      <c r="Q596">
        <f>DataTable[[#This Row],[Manufacturing Price]]*DataTable[[#This Row],[Units Sold]]</f>
        <v>391250</v>
      </c>
      <c r="R596" s="26">
        <f>DataTable[[#This Row],[COGS]]-DataTable[[#This Row],[MC_US]]</f>
        <v>-375600</v>
      </c>
      <c r="S596" s="26">
        <f>IF(DataTable[[#This Row],[COGS-MC_US]]&gt;=0,DataTable[[#This Row],[Manufacturing Price]],DataTable[[#This Row],[COGS]]/DataTable[[#This Row],[Units Sold]])</f>
        <v>10</v>
      </c>
    </row>
    <row r="597" spans="1:19" ht="12.75" x14ac:dyDescent="0.2">
      <c r="A597" s="20">
        <v>41974</v>
      </c>
      <c r="B597" t="s">
        <v>389</v>
      </c>
      <c r="C597" t="s">
        <v>390</v>
      </c>
      <c r="D597" t="s">
        <v>341</v>
      </c>
      <c r="E597" t="str">
        <f>VLOOKUP(DataTable[[#This Row],[Country]],Market!B:C,2,FALSE)</f>
        <v>North America</v>
      </c>
      <c r="F597" s="24">
        <v>3</v>
      </c>
      <c r="G597" s="24">
        <v>23000</v>
      </c>
      <c r="H597" s="24">
        <v>15</v>
      </c>
      <c r="I597" s="27">
        <v>2300</v>
      </c>
      <c r="J597" s="24">
        <v>34500</v>
      </c>
      <c r="K597" s="24">
        <v>4830</v>
      </c>
      <c r="L597" s="1" t="s">
        <v>158</v>
      </c>
      <c r="M597" s="24">
        <v>29670</v>
      </c>
      <c r="N597" s="24">
        <f t="shared" si="9"/>
        <v>6670</v>
      </c>
      <c r="O597" t="str">
        <f>IF(DataTable[[#This Row],[Profit]]/DataTable[[#This Row],[COGS]]*100&gt;20,"Achived","Not Achived")</f>
        <v>Achived</v>
      </c>
      <c r="P597" s="25">
        <f>DataTable[[#This Row],[Profit]]/DataTable[[#This Row],[COGS]]</f>
        <v>0.28999999999999998</v>
      </c>
      <c r="Q597">
        <f>DataTable[[#This Row],[Manufacturing Price]]*DataTable[[#This Row],[Units Sold]]</f>
        <v>6900</v>
      </c>
      <c r="R597" s="26">
        <f>DataTable[[#This Row],[COGS]]-DataTable[[#This Row],[MC_US]]</f>
        <v>16100</v>
      </c>
      <c r="S597" s="26">
        <f>IF(DataTable[[#This Row],[COGS-MC_US]]&gt;=0,DataTable[[#This Row],[Manufacturing Price]],DataTable[[#This Row],[COGS]]/DataTable[[#This Row],[Units Sold]])</f>
        <v>3</v>
      </c>
    </row>
    <row r="598" spans="1:19" ht="12.75" x14ac:dyDescent="0.2">
      <c r="A598" s="20">
        <v>41974</v>
      </c>
      <c r="B598" t="s">
        <v>391</v>
      </c>
      <c r="C598" t="s">
        <v>390</v>
      </c>
      <c r="D598" t="s">
        <v>341</v>
      </c>
      <c r="E598" t="str">
        <f>VLOOKUP(DataTable[[#This Row],[Country]],Market!B:C,2,FALSE)</f>
        <v>North America</v>
      </c>
      <c r="F598" s="24">
        <v>5</v>
      </c>
      <c r="G598" s="24">
        <v>23000</v>
      </c>
      <c r="H598" s="24">
        <v>15</v>
      </c>
      <c r="I598" s="27">
        <v>2300</v>
      </c>
      <c r="J598" s="24">
        <v>34500</v>
      </c>
      <c r="K598" s="24">
        <v>4830</v>
      </c>
      <c r="L598" s="1" t="s">
        <v>158</v>
      </c>
      <c r="M598" s="24">
        <v>29670</v>
      </c>
      <c r="N598" s="24">
        <f t="shared" si="9"/>
        <v>6670</v>
      </c>
      <c r="O598" t="str">
        <f>IF(DataTable[[#This Row],[Profit]]/DataTable[[#This Row],[COGS]]*100&gt;20,"Achived","Not Achived")</f>
        <v>Achived</v>
      </c>
      <c r="P598" s="25">
        <f>DataTable[[#This Row],[Profit]]/DataTable[[#This Row],[COGS]]</f>
        <v>0.28999999999999998</v>
      </c>
      <c r="Q598">
        <f>DataTable[[#This Row],[Manufacturing Price]]*DataTable[[#This Row],[Units Sold]]</f>
        <v>11500</v>
      </c>
      <c r="R598" s="26">
        <f>DataTable[[#This Row],[COGS]]-DataTable[[#This Row],[MC_US]]</f>
        <v>11500</v>
      </c>
      <c r="S598" s="26">
        <f>IF(DataTable[[#This Row],[COGS-MC_US]]&gt;=0,DataTable[[#This Row],[Manufacturing Price]],DataTable[[#This Row],[COGS]]/DataTable[[#This Row],[Units Sold]])</f>
        <v>5</v>
      </c>
    </row>
    <row r="599" spans="1:19" ht="12.75" x14ac:dyDescent="0.2">
      <c r="A599" s="20">
        <v>41518</v>
      </c>
      <c r="B599" t="s">
        <v>395</v>
      </c>
      <c r="C599" t="s">
        <v>390</v>
      </c>
      <c r="D599" t="s">
        <v>341</v>
      </c>
      <c r="E599" t="str">
        <f>VLOOKUP(DataTable[[#This Row],[Country]],Market!B:C,2,FALSE)</f>
        <v>North America</v>
      </c>
      <c r="F599" s="24">
        <v>10</v>
      </c>
      <c r="G599" s="24">
        <v>24700</v>
      </c>
      <c r="H599" s="24">
        <v>15</v>
      </c>
      <c r="I599" s="27">
        <v>2470</v>
      </c>
      <c r="J599" s="24">
        <v>37050</v>
      </c>
      <c r="K599" s="24">
        <v>5187</v>
      </c>
      <c r="L599" s="1" t="s">
        <v>158</v>
      </c>
      <c r="M599" s="24">
        <v>31863</v>
      </c>
      <c r="N599" s="24">
        <f t="shared" si="9"/>
        <v>7163</v>
      </c>
      <c r="O599" t="str">
        <f>IF(DataTable[[#This Row],[Profit]]/DataTable[[#This Row],[COGS]]*100&gt;20,"Achived","Not Achived")</f>
        <v>Achived</v>
      </c>
      <c r="P599" s="25">
        <f>DataTable[[#This Row],[Profit]]/DataTable[[#This Row],[COGS]]</f>
        <v>0.28999999999999998</v>
      </c>
      <c r="Q599">
        <f>DataTable[[#This Row],[Manufacturing Price]]*DataTable[[#This Row],[Units Sold]]</f>
        <v>24700</v>
      </c>
      <c r="R599" s="26">
        <f>DataTable[[#This Row],[COGS]]-DataTable[[#This Row],[MC_US]]</f>
        <v>0</v>
      </c>
      <c r="S599" s="26">
        <f>IF(DataTable[[#This Row],[COGS-MC_US]]&gt;=0,DataTable[[#This Row],[Manufacturing Price]],DataTable[[#This Row],[COGS]]/DataTable[[#This Row],[Units Sold]])</f>
        <v>10</v>
      </c>
    </row>
    <row r="600" spans="1:19" ht="12.75" x14ac:dyDescent="0.2">
      <c r="A600" s="20">
        <v>41548</v>
      </c>
      <c r="B600" t="s">
        <v>395</v>
      </c>
      <c r="C600" t="s">
        <v>390</v>
      </c>
      <c r="D600" t="s">
        <v>341</v>
      </c>
      <c r="E600" t="str">
        <f>VLOOKUP(DataTable[[#This Row],[Country]],Market!B:C,2,FALSE)</f>
        <v>North America</v>
      </c>
      <c r="F600" s="24">
        <v>10</v>
      </c>
      <c r="G600" s="24">
        <v>17430</v>
      </c>
      <c r="H600" s="24">
        <v>15</v>
      </c>
      <c r="I600" s="27">
        <v>1743</v>
      </c>
      <c r="J600" s="24">
        <v>26145</v>
      </c>
      <c r="K600" s="24">
        <v>3660.3</v>
      </c>
      <c r="L600" s="1" t="s">
        <v>158</v>
      </c>
      <c r="M600" s="24">
        <v>22484.7</v>
      </c>
      <c r="N600" s="24">
        <f t="shared" si="9"/>
        <v>5054.7000000000007</v>
      </c>
      <c r="O600" t="str">
        <f>IF(DataTable[[#This Row],[Profit]]/DataTable[[#This Row],[COGS]]*100&gt;20,"Achived","Not Achived")</f>
        <v>Achived</v>
      </c>
      <c r="P600" s="25">
        <f>DataTable[[#This Row],[Profit]]/DataTable[[#This Row],[COGS]]</f>
        <v>0.29000000000000004</v>
      </c>
      <c r="Q600">
        <f>DataTable[[#This Row],[Manufacturing Price]]*DataTable[[#This Row],[Units Sold]]</f>
        <v>17430</v>
      </c>
      <c r="R600" s="26">
        <f>DataTable[[#This Row],[COGS]]-DataTable[[#This Row],[MC_US]]</f>
        <v>0</v>
      </c>
      <c r="S600" s="26">
        <f>IF(DataTable[[#This Row],[COGS-MC_US]]&gt;=0,DataTable[[#This Row],[Manufacturing Price]],DataTable[[#This Row],[COGS]]/DataTable[[#This Row],[Units Sold]])</f>
        <v>10</v>
      </c>
    </row>
    <row r="601" spans="1:19" ht="12.75" x14ac:dyDescent="0.2">
      <c r="A601" s="20">
        <v>41548</v>
      </c>
      <c r="B601" t="s">
        <v>398</v>
      </c>
      <c r="C601" t="s">
        <v>390</v>
      </c>
      <c r="D601" t="s">
        <v>341</v>
      </c>
      <c r="E601" t="str">
        <f>VLOOKUP(DataTable[[#This Row],[Country]],Market!B:C,2,FALSE)</f>
        <v>North America</v>
      </c>
      <c r="F601" s="24">
        <v>260</v>
      </c>
      <c r="G601" s="24">
        <v>17430</v>
      </c>
      <c r="H601" s="24">
        <v>15</v>
      </c>
      <c r="I601" s="27">
        <v>1743</v>
      </c>
      <c r="J601" s="24">
        <v>26145</v>
      </c>
      <c r="K601" s="24">
        <v>3660.3</v>
      </c>
      <c r="L601" s="1" t="s">
        <v>158</v>
      </c>
      <c r="M601" s="24">
        <v>22484.7</v>
      </c>
      <c r="N601" s="24">
        <f t="shared" si="9"/>
        <v>5054.7000000000007</v>
      </c>
      <c r="O601" t="str">
        <f>IF(DataTable[[#This Row],[Profit]]/DataTable[[#This Row],[COGS]]*100&gt;20,"Achived","Not Achived")</f>
        <v>Achived</v>
      </c>
      <c r="P601" s="25">
        <f>DataTable[[#This Row],[Profit]]/DataTable[[#This Row],[COGS]]</f>
        <v>0.29000000000000004</v>
      </c>
      <c r="Q601">
        <f>DataTable[[#This Row],[Manufacturing Price]]*DataTable[[#This Row],[Units Sold]]</f>
        <v>453180</v>
      </c>
      <c r="R601" s="26">
        <f>DataTable[[#This Row],[COGS]]-DataTable[[#This Row],[MC_US]]</f>
        <v>-435750</v>
      </c>
      <c r="S601" s="26">
        <f>IF(DataTable[[#This Row],[COGS-MC_US]]&gt;=0,DataTable[[#This Row],[Manufacturing Price]],DataTable[[#This Row],[COGS]]/DataTable[[#This Row],[Units Sold]])</f>
        <v>10</v>
      </c>
    </row>
    <row r="602" spans="1:19" ht="12.75" x14ac:dyDescent="0.2">
      <c r="A602" s="20">
        <v>41730</v>
      </c>
      <c r="B602" t="s">
        <v>395</v>
      </c>
      <c r="C602" t="s">
        <v>390</v>
      </c>
      <c r="D602" t="s">
        <v>341</v>
      </c>
      <c r="E602" t="str">
        <f>VLOOKUP(DataTable[[#This Row],[Country]],Market!B:C,2,FALSE)</f>
        <v>North America</v>
      </c>
      <c r="F602" s="24">
        <v>10</v>
      </c>
      <c r="G602" s="24">
        <v>16140</v>
      </c>
      <c r="H602" s="24">
        <v>15</v>
      </c>
      <c r="I602" s="27">
        <v>1614</v>
      </c>
      <c r="J602" s="24">
        <v>24210</v>
      </c>
      <c r="K602" s="24">
        <v>3631.5</v>
      </c>
      <c r="L602" s="1" t="s">
        <v>158</v>
      </c>
      <c r="M602" s="24">
        <v>20578.5</v>
      </c>
      <c r="N602" s="24">
        <f t="shared" si="9"/>
        <v>4438.5</v>
      </c>
      <c r="O602" t="str">
        <f>IF(DataTable[[#This Row],[Profit]]/DataTable[[#This Row],[COGS]]*100&gt;20,"Achived","Not Achived")</f>
        <v>Achived</v>
      </c>
      <c r="P602" s="25">
        <f>DataTable[[#This Row],[Profit]]/DataTable[[#This Row],[COGS]]</f>
        <v>0.27500000000000002</v>
      </c>
      <c r="Q602">
        <f>DataTable[[#This Row],[Manufacturing Price]]*DataTable[[#This Row],[Units Sold]]</f>
        <v>16140</v>
      </c>
      <c r="R602" s="26">
        <f>DataTable[[#This Row],[COGS]]-DataTable[[#This Row],[MC_US]]</f>
        <v>0</v>
      </c>
      <c r="S602" s="26">
        <f>IF(DataTable[[#This Row],[COGS-MC_US]]&gt;=0,DataTable[[#This Row],[Manufacturing Price]],DataTable[[#This Row],[COGS]]/DataTable[[#This Row],[Units Sold]])</f>
        <v>10</v>
      </c>
    </row>
    <row r="603" spans="1:19" ht="12.75" x14ac:dyDescent="0.2">
      <c r="A603" s="20">
        <v>41852</v>
      </c>
      <c r="B603" t="s">
        <v>395</v>
      </c>
      <c r="C603" t="s">
        <v>390</v>
      </c>
      <c r="D603" t="s">
        <v>341</v>
      </c>
      <c r="E603" t="str">
        <f>VLOOKUP(DataTable[[#This Row],[Country]],Market!B:C,2,FALSE)</f>
        <v>North America</v>
      </c>
      <c r="F603" s="24">
        <v>10</v>
      </c>
      <c r="G603" s="24">
        <v>25590</v>
      </c>
      <c r="H603" s="24">
        <v>15</v>
      </c>
      <c r="I603" s="27">
        <v>2559</v>
      </c>
      <c r="J603" s="24">
        <v>38385</v>
      </c>
      <c r="K603" s="24">
        <v>5757.75</v>
      </c>
      <c r="L603" s="1" t="s">
        <v>158</v>
      </c>
      <c r="M603" s="24">
        <v>32627.25</v>
      </c>
      <c r="N603" s="24">
        <f t="shared" si="9"/>
        <v>7037.25</v>
      </c>
      <c r="O603" t="str">
        <f>IF(DataTable[[#This Row],[Profit]]/DataTable[[#This Row],[COGS]]*100&gt;20,"Achived","Not Achived")</f>
        <v>Achived</v>
      </c>
      <c r="P603" s="25">
        <f>DataTable[[#This Row],[Profit]]/DataTable[[#This Row],[COGS]]</f>
        <v>0.27500000000000002</v>
      </c>
      <c r="Q603">
        <f>DataTable[[#This Row],[Manufacturing Price]]*DataTable[[#This Row],[Units Sold]]</f>
        <v>25590</v>
      </c>
      <c r="R603" s="26">
        <f>DataTable[[#This Row],[COGS]]-DataTable[[#This Row],[MC_US]]</f>
        <v>0</v>
      </c>
      <c r="S603" s="26">
        <f>IF(DataTable[[#This Row],[COGS-MC_US]]&gt;=0,DataTable[[#This Row],[Manufacturing Price]],DataTable[[#This Row],[COGS]]/DataTable[[#This Row],[Units Sold]])</f>
        <v>10</v>
      </c>
    </row>
    <row r="604" spans="1:19" ht="12.75" hidden="1" x14ac:dyDescent="0.2">
      <c r="A604" s="20">
        <v>41730</v>
      </c>
      <c r="B604" t="s">
        <v>391</v>
      </c>
      <c r="C604" t="s">
        <v>394</v>
      </c>
      <c r="D604" t="s">
        <v>359</v>
      </c>
      <c r="E604" t="str">
        <f>VLOOKUP(DataTable[[#This Row],[Country]],Market!B:C,2,FALSE)</f>
        <v>North America</v>
      </c>
      <c r="F604" s="24">
        <v>5</v>
      </c>
      <c r="G604" s="24">
        <v>575250</v>
      </c>
      <c r="H604" s="24">
        <v>300</v>
      </c>
      <c r="I604" s="27">
        <v>2301</v>
      </c>
      <c r="J604" s="24">
        <v>690300</v>
      </c>
      <c r="K604" s="24">
        <v>6903</v>
      </c>
      <c r="L604" s="1" t="s">
        <v>57</v>
      </c>
      <c r="M604" s="24">
        <v>683397</v>
      </c>
      <c r="N604" s="24">
        <f t="shared" si="9"/>
        <v>108147</v>
      </c>
      <c r="O604" t="str">
        <f>IF(DataTable[[#This Row],[Profit]]/DataTable[[#This Row],[COGS]]*100&gt;20,"Achived","Not Achived")</f>
        <v>Not Achived</v>
      </c>
      <c r="P604" s="25">
        <f>DataTable[[#This Row],[Profit]]/DataTable[[#This Row],[COGS]]</f>
        <v>0.188</v>
      </c>
      <c r="Q604">
        <f>DataTable[[#This Row],[Manufacturing Price]]*DataTable[[#This Row],[Units Sold]]</f>
        <v>11505</v>
      </c>
      <c r="R604" s="26">
        <f>DataTable[[#This Row],[COGS]]-DataTable[[#This Row],[MC_US]]</f>
        <v>563745</v>
      </c>
      <c r="S604" s="26">
        <f>IF(DataTable[[#This Row],[COGS-MC_US]]&gt;=0,DataTable[[#This Row],[Manufacturing Price]],DataTable[[#This Row],[COGS]]/DataTable[[#This Row],[Units Sold]])</f>
        <v>5</v>
      </c>
    </row>
    <row r="605" spans="1:19" ht="12.75" hidden="1" x14ac:dyDescent="0.2">
      <c r="A605" s="20">
        <v>41518</v>
      </c>
      <c r="B605" t="s">
        <v>391</v>
      </c>
      <c r="C605" t="s">
        <v>394</v>
      </c>
      <c r="D605" t="s">
        <v>359</v>
      </c>
      <c r="E605" t="str">
        <f>VLOOKUP(DataTable[[#This Row],[Country]],Market!B:C,2,FALSE)</f>
        <v>North America</v>
      </c>
      <c r="F605" s="24">
        <v>5</v>
      </c>
      <c r="G605" s="24">
        <v>624500</v>
      </c>
      <c r="H605" s="24">
        <v>300</v>
      </c>
      <c r="I605" s="27">
        <v>2498</v>
      </c>
      <c r="J605" s="24">
        <v>749400</v>
      </c>
      <c r="K605" s="24">
        <v>7494</v>
      </c>
      <c r="L605" s="1" t="s">
        <v>57</v>
      </c>
      <c r="M605" s="24">
        <v>741906</v>
      </c>
      <c r="N605" s="24">
        <f t="shared" si="9"/>
        <v>117406</v>
      </c>
      <c r="O605" t="str">
        <f>IF(DataTable[[#This Row],[Profit]]/DataTable[[#This Row],[COGS]]*100&gt;20,"Achived","Not Achived")</f>
        <v>Not Achived</v>
      </c>
      <c r="P605" s="25">
        <f>DataTable[[#This Row],[Profit]]/DataTable[[#This Row],[COGS]]</f>
        <v>0.188</v>
      </c>
      <c r="Q605">
        <f>DataTable[[#This Row],[Manufacturing Price]]*DataTable[[#This Row],[Units Sold]]</f>
        <v>12490</v>
      </c>
      <c r="R605" s="26">
        <f>DataTable[[#This Row],[COGS]]-DataTable[[#This Row],[MC_US]]</f>
        <v>612010</v>
      </c>
      <c r="S605" s="26">
        <f>IF(DataTable[[#This Row],[COGS-MC_US]]&gt;=0,DataTable[[#This Row],[Manufacturing Price]],DataTable[[#This Row],[COGS]]/DataTable[[#This Row],[Units Sold]])</f>
        <v>5</v>
      </c>
    </row>
    <row r="606" spans="1:19" ht="12.75" hidden="1" x14ac:dyDescent="0.2">
      <c r="A606" s="20">
        <v>41944</v>
      </c>
      <c r="B606" t="s">
        <v>395</v>
      </c>
      <c r="C606" t="s">
        <v>394</v>
      </c>
      <c r="D606" t="s">
        <v>359</v>
      </c>
      <c r="E606" t="str">
        <f>VLOOKUP(DataTable[[#This Row],[Country]],Market!B:C,2,FALSE)</f>
        <v>North America</v>
      </c>
      <c r="F606" s="24">
        <v>10</v>
      </c>
      <c r="G606" s="24">
        <v>726250</v>
      </c>
      <c r="H606" s="24">
        <v>300</v>
      </c>
      <c r="I606" s="27">
        <v>2905</v>
      </c>
      <c r="J606" s="24">
        <v>871500</v>
      </c>
      <c r="K606" s="24">
        <v>8715</v>
      </c>
      <c r="L606" s="1" t="s">
        <v>57</v>
      </c>
      <c r="M606" s="24">
        <v>862785</v>
      </c>
      <c r="N606" s="24">
        <f t="shared" si="9"/>
        <v>136535</v>
      </c>
      <c r="O606" t="str">
        <f>IF(DataTable[[#This Row],[Profit]]/DataTable[[#This Row],[COGS]]*100&gt;20,"Achived","Not Achived")</f>
        <v>Not Achived</v>
      </c>
      <c r="P606" s="25">
        <f>DataTable[[#This Row],[Profit]]/DataTable[[#This Row],[COGS]]</f>
        <v>0.188</v>
      </c>
      <c r="Q606">
        <f>DataTable[[#This Row],[Manufacturing Price]]*DataTable[[#This Row],[Units Sold]]</f>
        <v>29050</v>
      </c>
      <c r="R606" s="26">
        <f>DataTable[[#This Row],[COGS]]-DataTable[[#This Row],[MC_US]]</f>
        <v>697200</v>
      </c>
      <c r="S606" s="26">
        <f>IF(DataTable[[#This Row],[COGS-MC_US]]&gt;=0,DataTable[[#This Row],[Manufacturing Price]],DataTable[[#This Row],[COGS]]/DataTable[[#This Row],[Units Sold]])</f>
        <v>10</v>
      </c>
    </row>
    <row r="607" spans="1:19" ht="12.75" hidden="1" x14ac:dyDescent="0.2">
      <c r="A607" s="20">
        <v>41671</v>
      </c>
      <c r="B607" t="s">
        <v>397</v>
      </c>
      <c r="C607" t="s">
        <v>394</v>
      </c>
      <c r="D607" t="s">
        <v>359</v>
      </c>
      <c r="E607" t="str">
        <f>VLOOKUP(DataTable[[#This Row],[Country]],Market!B:C,2,FALSE)</f>
        <v>North America</v>
      </c>
      <c r="F607" s="24">
        <v>250</v>
      </c>
      <c r="G607" s="24">
        <v>711000</v>
      </c>
      <c r="H607" s="24">
        <v>300</v>
      </c>
      <c r="I607" s="27">
        <v>2844</v>
      </c>
      <c r="J607" s="24">
        <v>853200</v>
      </c>
      <c r="K607" s="24">
        <v>25596</v>
      </c>
      <c r="L607" s="1" t="s">
        <v>57</v>
      </c>
      <c r="M607" s="24">
        <v>827604</v>
      </c>
      <c r="N607" s="24">
        <f t="shared" si="9"/>
        <v>116604</v>
      </c>
      <c r="O607" t="str">
        <f>IF(DataTable[[#This Row],[Profit]]/DataTable[[#This Row],[COGS]]*100&gt;20,"Achived","Not Achived")</f>
        <v>Not Achived</v>
      </c>
      <c r="P607" s="25">
        <f>DataTable[[#This Row],[Profit]]/DataTable[[#This Row],[COGS]]</f>
        <v>0.16400000000000001</v>
      </c>
      <c r="Q607">
        <f>DataTable[[#This Row],[Manufacturing Price]]*DataTable[[#This Row],[Units Sold]]</f>
        <v>711000</v>
      </c>
      <c r="R607" s="26">
        <f>DataTable[[#This Row],[COGS]]-DataTable[[#This Row],[MC_US]]</f>
        <v>0</v>
      </c>
      <c r="S607" s="26">
        <f>IF(DataTable[[#This Row],[COGS-MC_US]]&gt;=0,DataTable[[#This Row],[Manufacturing Price]],DataTable[[#This Row],[COGS]]/DataTable[[#This Row],[Units Sold]])</f>
        <v>250</v>
      </c>
    </row>
    <row r="608" spans="1:19" ht="12.75" hidden="1" x14ac:dyDescent="0.2">
      <c r="A608" s="20">
        <v>41760</v>
      </c>
      <c r="B608" t="s">
        <v>395</v>
      </c>
      <c r="C608" t="s">
        <v>394</v>
      </c>
      <c r="D608" t="s">
        <v>359</v>
      </c>
      <c r="E608" t="str">
        <f>VLOOKUP(DataTable[[#This Row],[Country]],Market!B:C,2,FALSE)</f>
        <v>North America</v>
      </c>
      <c r="F608" s="24">
        <v>10</v>
      </c>
      <c r="G608" s="24">
        <v>729500</v>
      </c>
      <c r="H608" s="24">
        <v>300</v>
      </c>
      <c r="I608" s="27">
        <v>2918</v>
      </c>
      <c r="J608" s="24">
        <v>875400</v>
      </c>
      <c r="K608" s="24">
        <v>35016</v>
      </c>
      <c r="L608" s="1" t="s">
        <v>57</v>
      </c>
      <c r="M608" s="24">
        <v>840384</v>
      </c>
      <c r="N608" s="24">
        <f t="shared" si="9"/>
        <v>110884</v>
      </c>
      <c r="O608" t="str">
        <f>IF(DataTable[[#This Row],[Profit]]/DataTable[[#This Row],[COGS]]*100&gt;20,"Achived","Not Achived")</f>
        <v>Not Achived</v>
      </c>
      <c r="P608" s="25">
        <f>DataTable[[#This Row],[Profit]]/DataTable[[#This Row],[COGS]]</f>
        <v>0.152</v>
      </c>
      <c r="Q608">
        <f>DataTable[[#This Row],[Manufacturing Price]]*DataTable[[#This Row],[Units Sold]]</f>
        <v>29180</v>
      </c>
      <c r="R608" s="26">
        <f>DataTable[[#This Row],[COGS]]-DataTable[[#This Row],[MC_US]]</f>
        <v>700320</v>
      </c>
      <c r="S608" s="26">
        <f>IF(DataTable[[#This Row],[COGS-MC_US]]&gt;=0,DataTable[[#This Row],[Manufacturing Price]],DataTable[[#This Row],[COGS]]/DataTable[[#This Row],[Units Sold]])</f>
        <v>10</v>
      </c>
    </row>
    <row r="609" spans="1:19" ht="12.75" hidden="1" x14ac:dyDescent="0.2">
      <c r="A609" s="20">
        <v>41791</v>
      </c>
      <c r="B609" t="s">
        <v>389</v>
      </c>
      <c r="C609" t="s">
        <v>394</v>
      </c>
      <c r="D609" t="s">
        <v>359</v>
      </c>
      <c r="E609" t="str">
        <f>VLOOKUP(DataTable[[#This Row],[Country]],Market!B:C,2,FALSE)</f>
        <v>North America</v>
      </c>
      <c r="F609" s="24">
        <v>3</v>
      </c>
      <c r="G609" s="24">
        <v>247750</v>
      </c>
      <c r="H609" s="24">
        <v>300</v>
      </c>
      <c r="I609" s="27">
        <v>991</v>
      </c>
      <c r="J609" s="24">
        <v>297300</v>
      </c>
      <c r="K609" s="24">
        <v>14865</v>
      </c>
      <c r="L609" s="1" t="s">
        <v>124</v>
      </c>
      <c r="M609" s="24">
        <v>282435</v>
      </c>
      <c r="N609" s="24">
        <f t="shared" si="9"/>
        <v>34685</v>
      </c>
      <c r="O609" t="str">
        <f>IF(DataTable[[#This Row],[Profit]]/DataTable[[#This Row],[COGS]]*100&gt;20,"Achived","Not Achived")</f>
        <v>Not Achived</v>
      </c>
      <c r="P609" s="25">
        <f>DataTable[[#This Row],[Profit]]/DataTable[[#This Row],[COGS]]</f>
        <v>0.14000000000000001</v>
      </c>
      <c r="Q609">
        <f>DataTable[[#This Row],[Manufacturing Price]]*DataTable[[#This Row],[Units Sold]]</f>
        <v>2973</v>
      </c>
      <c r="R609" s="26">
        <f>DataTable[[#This Row],[COGS]]-DataTable[[#This Row],[MC_US]]</f>
        <v>244777</v>
      </c>
      <c r="S609" s="26">
        <f>IF(DataTable[[#This Row],[COGS-MC_US]]&gt;=0,DataTable[[#This Row],[Manufacturing Price]],DataTable[[#This Row],[COGS]]/DataTable[[#This Row],[Units Sold]])</f>
        <v>3</v>
      </c>
    </row>
    <row r="610" spans="1:19" ht="12.75" hidden="1" x14ac:dyDescent="0.2">
      <c r="A610" s="20">
        <v>41791</v>
      </c>
      <c r="B610" t="s">
        <v>395</v>
      </c>
      <c r="C610" t="s">
        <v>394</v>
      </c>
      <c r="D610" t="s">
        <v>359</v>
      </c>
      <c r="E610" t="str">
        <f>VLOOKUP(DataTable[[#This Row],[Country]],Market!B:C,2,FALSE)</f>
        <v>North America</v>
      </c>
      <c r="F610" s="24">
        <v>10</v>
      </c>
      <c r="G610" s="24">
        <v>247750</v>
      </c>
      <c r="H610" s="24">
        <v>300</v>
      </c>
      <c r="I610" s="27">
        <v>991</v>
      </c>
      <c r="J610" s="24">
        <v>297300</v>
      </c>
      <c r="K610" s="24">
        <v>14865</v>
      </c>
      <c r="L610" s="1" t="s">
        <v>124</v>
      </c>
      <c r="M610" s="24">
        <v>282435</v>
      </c>
      <c r="N610" s="24">
        <f t="shared" si="9"/>
        <v>34685</v>
      </c>
      <c r="O610" t="str">
        <f>IF(DataTable[[#This Row],[Profit]]/DataTable[[#This Row],[COGS]]*100&gt;20,"Achived","Not Achived")</f>
        <v>Not Achived</v>
      </c>
      <c r="P610" s="25">
        <f>DataTable[[#This Row],[Profit]]/DataTable[[#This Row],[COGS]]</f>
        <v>0.14000000000000001</v>
      </c>
      <c r="Q610">
        <f>DataTable[[#This Row],[Manufacturing Price]]*DataTable[[#This Row],[Units Sold]]</f>
        <v>9910</v>
      </c>
      <c r="R610" s="26">
        <f>DataTable[[#This Row],[COGS]]-DataTable[[#This Row],[MC_US]]</f>
        <v>237840</v>
      </c>
      <c r="S610" s="26">
        <f>IF(DataTable[[#This Row],[COGS-MC_US]]&gt;=0,DataTable[[#This Row],[Manufacturing Price]],DataTable[[#This Row],[COGS]]/DataTable[[#This Row],[Units Sold]])</f>
        <v>10</v>
      </c>
    </row>
    <row r="611" spans="1:19" ht="12.75" hidden="1" x14ac:dyDescent="0.2">
      <c r="A611" s="20">
        <v>41974</v>
      </c>
      <c r="B611" t="s">
        <v>396</v>
      </c>
      <c r="C611" t="s">
        <v>394</v>
      </c>
      <c r="D611" t="s">
        <v>359</v>
      </c>
      <c r="E611" t="str">
        <f>VLOOKUP(DataTable[[#This Row],[Country]],Market!B:C,2,FALSE)</f>
        <v>North America</v>
      </c>
      <c r="F611" s="24">
        <v>120</v>
      </c>
      <c r="G611" s="24">
        <v>343000</v>
      </c>
      <c r="H611" s="24">
        <v>300</v>
      </c>
      <c r="I611" s="27">
        <v>1372</v>
      </c>
      <c r="J611" s="24">
        <v>411600</v>
      </c>
      <c r="K611" s="24">
        <v>28812</v>
      </c>
      <c r="L611" s="1" t="s">
        <v>124</v>
      </c>
      <c r="M611" s="24">
        <v>382788</v>
      </c>
      <c r="N611" s="24">
        <f t="shared" si="9"/>
        <v>39788</v>
      </c>
      <c r="O611" t="str">
        <f>IF(DataTable[[#This Row],[Profit]]/DataTable[[#This Row],[COGS]]*100&gt;20,"Achived","Not Achived")</f>
        <v>Not Achived</v>
      </c>
      <c r="P611" s="25">
        <f>DataTable[[#This Row],[Profit]]/DataTable[[#This Row],[COGS]]</f>
        <v>0.11600000000000001</v>
      </c>
      <c r="Q611">
        <f>DataTable[[#This Row],[Manufacturing Price]]*DataTable[[#This Row],[Units Sold]]</f>
        <v>164640</v>
      </c>
      <c r="R611" s="26">
        <f>DataTable[[#This Row],[COGS]]-DataTable[[#This Row],[MC_US]]</f>
        <v>178360</v>
      </c>
      <c r="S611" s="26">
        <f>IF(DataTable[[#This Row],[COGS-MC_US]]&gt;=0,DataTable[[#This Row],[Manufacturing Price]],DataTable[[#This Row],[COGS]]/DataTable[[#This Row],[Units Sold]])</f>
        <v>120</v>
      </c>
    </row>
    <row r="612" spans="1:19" ht="12.75" hidden="1" x14ac:dyDescent="0.2">
      <c r="A612" s="20">
        <v>41974</v>
      </c>
      <c r="B612" t="s">
        <v>398</v>
      </c>
      <c r="C612" t="s">
        <v>394</v>
      </c>
      <c r="D612" t="s">
        <v>359</v>
      </c>
      <c r="E612" t="str">
        <f>VLOOKUP(DataTable[[#This Row],[Country]],Market!B:C,2,FALSE)</f>
        <v>North America</v>
      </c>
      <c r="F612" s="24">
        <v>260</v>
      </c>
      <c r="G612" s="24">
        <v>343000</v>
      </c>
      <c r="H612" s="24">
        <v>300</v>
      </c>
      <c r="I612" s="27">
        <v>1372</v>
      </c>
      <c r="J612" s="24">
        <v>411600</v>
      </c>
      <c r="K612" s="24">
        <v>28812</v>
      </c>
      <c r="L612" s="1" t="s">
        <v>124</v>
      </c>
      <c r="M612" s="24">
        <v>382788</v>
      </c>
      <c r="N612" s="24">
        <f t="shared" si="9"/>
        <v>39788</v>
      </c>
      <c r="O612" t="str">
        <f>IF(DataTable[[#This Row],[Profit]]/DataTable[[#This Row],[COGS]]*100&gt;20,"Achived","Not Achived")</f>
        <v>Not Achived</v>
      </c>
      <c r="P612" s="25">
        <f>DataTable[[#This Row],[Profit]]/DataTable[[#This Row],[COGS]]</f>
        <v>0.11600000000000001</v>
      </c>
      <c r="Q612">
        <f>DataTable[[#This Row],[Manufacturing Price]]*DataTable[[#This Row],[Units Sold]]</f>
        <v>356720</v>
      </c>
      <c r="R612" s="26">
        <f>DataTable[[#This Row],[COGS]]-DataTable[[#This Row],[MC_US]]</f>
        <v>-13720</v>
      </c>
      <c r="S612" s="26">
        <f>IF(DataTable[[#This Row],[COGS-MC_US]]&gt;=0,DataTable[[#This Row],[Manufacturing Price]],DataTable[[#This Row],[COGS]]/DataTable[[#This Row],[Units Sold]])</f>
        <v>250</v>
      </c>
    </row>
    <row r="613" spans="1:19" ht="12.75" hidden="1" x14ac:dyDescent="0.2">
      <c r="A613" s="20">
        <v>41609</v>
      </c>
      <c r="B613" t="s">
        <v>397</v>
      </c>
      <c r="C613" t="s">
        <v>394</v>
      </c>
      <c r="D613" t="s">
        <v>359</v>
      </c>
      <c r="E613" t="str">
        <f>VLOOKUP(DataTable[[#This Row],[Country]],Market!B:C,2,FALSE)</f>
        <v>North America</v>
      </c>
      <c r="F613" s="24">
        <v>250</v>
      </c>
      <c r="G613" s="24">
        <v>202000</v>
      </c>
      <c r="H613" s="24">
        <v>300</v>
      </c>
      <c r="I613" s="27">
        <v>808</v>
      </c>
      <c r="J613" s="24">
        <v>242400</v>
      </c>
      <c r="K613" s="24">
        <v>19392</v>
      </c>
      <c r="L613" s="1" t="s">
        <v>124</v>
      </c>
      <c r="M613" s="24">
        <v>223008</v>
      </c>
      <c r="N613" s="24">
        <f t="shared" si="9"/>
        <v>21008</v>
      </c>
      <c r="O613" t="str">
        <f>IF(DataTable[[#This Row],[Profit]]/DataTable[[#This Row],[COGS]]*100&gt;20,"Achived","Not Achived")</f>
        <v>Not Achived</v>
      </c>
      <c r="P613" s="25">
        <f>DataTable[[#This Row],[Profit]]/DataTable[[#This Row],[COGS]]</f>
        <v>0.104</v>
      </c>
      <c r="Q613">
        <f>DataTable[[#This Row],[Manufacturing Price]]*DataTable[[#This Row],[Units Sold]]</f>
        <v>202000</v>
      </c>
      <c r="R613" s="26">
        <f>DataTable[[#This Row],[COGS]]-DataTable[[#This Row],[MC_US]]</f>
        <v>0</v>
      </c>
      <c r="S613" s="26">
        <f>IF(DataTable[[#This Row],[COGS-MC_US]]&gt;=0,DataTable[[#This Row],[Manufacturing Price]],DataTable[[#This Row],[COGS]]/DataTable[[#This Row],[Units Sold]])</f>
        <v>250</v>
      </c>
    </row>
    <row r="614" spans="1:19" ht="12.75" hidden="1" x14ac:dyDescent="0.2">
      <c r="A614" s="20">
        <v>41883</v>
      </c>
      <c r="B614" t="s">
        <v>397</v>
      </c>
      <c r="C614" t="s">
        <v>394</v>
      </c>
      <c r="D614" t="s">
        <v>359</v>
      </c>
      <c r="E614" t="str">
        <f>VLOOKUP(DataTable[[#This Row],[Country]],Market!B:C,2,FALSE)</f>
        <v>North America</v>
      </c>
      <c r="F614" s="24">
        <v>250</v>
      </c>
      <c r="G614" s="24">
        <v>466750</v>
      </c>
      <c r="H614" s="24">
        <v>300</v>
      </c>
      <c r="I614" s="27">
        <v>1867</v>
      </c>
      <c r="J614" s="24">
        <v>560100</v>
      </c>
      <c r="K614" s="24">
        <v>50409</v>
      </c>
      <c r="L614" s="1" t="s">
        <v>124</v>
      </c>
      <c r="M614" s="24">
        <v>509691</v>
      </c>
      <c r="N614" s="24">
        <f t="shared" si="9"/>
        <v>42941</v>
      </c>
      <c r="O614" t="str">
        <f>IF(DataTable[[#This Row],[Profit]]/DataTable[[#This Row],[COGS]]*100&gt;20,"Achived","Not Achived")</f>
        <v>Not Achived</v>
      </c>
      <c r="P614" s="25">
        <f>DataTable[[#This Row],[Profit]]/DataTable[[#This Row],[COGS]]</f>
        <v>9.1999999999999998E-2</v>
      </c>
      <c r="Q614">
        <f>DataTable[[#This Row],[Manufacturing Price]]*DataTable[[#This Row],[Units Sold]]</f>
        <v>466750</v>
      </c>
      <c r="R614" s="26">
        <f>DataTable[[#This Row],[COGS]]-DataTable[[#This Row],[MC_US]]</f>
        <v>0</v>
      </c>
      <c r="S614" s="26">
        <f>IF(DataTable[[#This Row],[COGS-MC_US]]&gt;=0,DataTable[[#This Row],[Manufacturing Price]],DataTable[[#This Row],[COGS]]/DataTable[[#This Row],[Units Sold]])</f>
        <v>250</v>
      </c>
    </row>
    <row r="615" spans="1:19" ht="12.75" x14ac:dyDescent="0.2">
      <c r="A615" s="20">
        <v>41548</v>
      </c>
      <c r="B615" t="s">
        <v>396</v>
      </c>
      <c r="C615" t="s">
        <v>394</v>
      </c>
      <c r="D615" t="s">
        <v>359</v>
      </c>
      <c r="E615" t="str">
        <f>VLOOKUP(DataTable[[#This Row],[Country]],Market!B:C,2,FALSE)</f>
        <v>North America</v>
      </c>
      <c r="F615" s="24">
        <v>120</v>
      </c>
      <c r="G615" s="24">
        <v>573500</v>
      </c>
      <c r="H615" s="24">
        <v>300</v>
      </c>
      <c r="I615" s="27">
        <v>2294</v>
      </c>
      <c r="J615" s="24">
        <v>688200</v>
      </c>
      <c r="K615" s="24">
        <v>68820</v>
      </c>
      <c r="L615" s="1" t="s">
        <v>158</v>
      </c>
      <c r="M615" s="24">
        <v>619380</v>
      </c>
      <c r="N615" s="24">
        <f t="shared" si="9"/>
        <v>45880</v>
      </c>
      <c r="O615" t="str">
        <f>IF(DataTable[[#This Row],[Profit]]/DataTable[[#This Row],[COGS]]*100&gt;20,"Achived","Not Achived")</f>
        <v>Not Achived</v>
      </c>
      <c r="P615" s="25">
        <f>DataTable[[#This Row],[Profit]]/DataTable[[#This Row],[COGS]]</f>
        <v>0.08</v>
      </c>
      <c r="Q615">
        <f>DataTable[[#This Row],[Manufacturing Price]]*DataTable[[#This Row],[Units Sold]]</f>
        <v>275280</v>
      </c>
      <c r="R615" s="26">
        <f>DataTable[[#This Row],[COGS]]-DataTable[[#This Row],[MC_US]]</f>
        <v>298220</v>
      </c>
      <c r="S615" s="26">
        <f>IF(DataTable[[#This Row],[COGS-MC_US]]&gt;=0,DataTable[[#This Row],[Manufacturing Price]],DataTable[[#This Row],[COGS]]/DataTable[[#This Row],[Units Sold]])</f>
        <v>120</v>
      </c>
    </row>
    <row r="616" spans="1:19" ht="12.75" x14ac:dyDescent="0.2">
      <c r="A616" s="20">
        <v>41548</v>
      </c>
      <c r="B616" t="s">
        <v>397</v>
      </c>
      <c r="C616" t="s">
        <v>394</v>
      </c>
      <c r="D616" t="s">
        <v>359</v>
      </c>
      <c r="E616" t="str">
        <f>VLOOKUP(DataTable[[#This Row],[Country]],Market!B:C,2,FALSE)</f>
        <v>North America</v>
      </c>
      <c r="F616" s="24">
        <v>250</v>
      </c>
      <c r="G616" s="24">
        <v>573500</v>
      </c>
      <c r="H616" s="24">
        <v>300</v>
      </c>
      <c r="I616" s="27">
        <v>2294</v>
      </c>
      <c r="J616" s="24">
        <v>688200</v>
      </c>
      <c r="K616" s="24">
        <v>68820</v>
      </c>
      <c r="L616" s="1" t="s">
        <v>158</v>
      </c>
      <c r="M616" s="24">
        <v>619380</v>
      </c>
      <c r="N616" s="24">
        <f t="shared" si="9"/>
        <v>45880</v>
      </c>
      <c r="O616" t="str">
        <f>IF(DataTable[[#This Row],[Profit]]/DataTable[[#This Row],[COGS]]*100&gt;20,"Achived","Not Achived")</f>
        <v>Not Achived</v>
      </c>
      <c r="P616" s="25">
        <f>DataTable[[#This Row],[Profit]]/DataTable[[#This Row],[COGS]]</f>
        <v>0.08</v>
      </c>
      <c r="Q616">
        <f>DataTable[[#This Row],[Manufacturing Price]]*DataTable[[#This Row],[Units Sold]]</f>
        <v>573500</v>
      </c>
      <c r="R616" s="26">
        <f>DataTable[[#This Row],[COGS]]-DataTable[[#This Row],[MC_US]]</f>
        <v>0</v>
      </c>
      <c r="S616" s="26">
        <f>IF(DataTable[[#This Row],[COGS-MC_US]]&gt;=0,DataTable[[#This Row],[Manufacturing Price]],DataTable[[#This Row],[COGS]]/DataTable[[#This Row],[Units Sold]])</f>
        <v>250</v>
      </c>
    </row>
    <row r="617" spans="1:19" ht="12.75" x14ac:dyDescent="0.2">
      <c r="A617" s="20">
        <v>41699</v>
      </c>
      <c r="B617" t="s">
        <v>398</v>
      </c>
      <c r="C617" t="s">
        <v>394</v>
      </c>
      <c r="D617" t="s">
        <v>359</v>
      </c>
      <c r="E617" t="str">
        <f>VLOOKUP(DataTable[[#This Row],[Country]],Market!B:C,2,FALSE)</f>
        <v>North America</v>
      </c>
      <c r="F617" s="24">
        <v>260</v>
      </c>
      <c r="G617" s="24">
        <v>748250</v>
      </c>
      <c r="H617" s="24">
        <v>300</v>
      </c>
      <c r="I617" s="27">
        <v>2993</v>
      </c>
      <c r="J617" s="24">
        <v>897900</v>
      </c>
      <c r="K617" s="24">
        <v>89790</v>
      </c>
      <c r="L617" s="1" t="s">
        <v>158</v>
      </c>
      <c r="M617" s="24">
        <v>808110</v>
      </c>
      <c r="N617" s="24">
        <f t="shared" si="9"/>
        <v>59860</v>
      </c>
      <c r="O617" t="str">
        <f>IF(DataTable[[#This Row],[Profit]]/DataTable[[#This Row],[COGS]]*100&gt;20,"Achived","Not Achived")</f>
        <v>Not Achived</v>
      </c>
      <c r="P617" s="25">
        <f>DataTable[[#This Row],[Profit]]/DataTable[[#This Row],[COGS]]</f>
        <v>0.08</v>
      </c>
      <c r="Q617">
        <f>DataTable[[#This Row],[Manufacturing Price]]*DataTable[[#This Row],[Units Sold]]</f>
        <v>778180</v>
      </c>
      <c r="R617" s="26">
        <f>DataTable[[#This Row],[COGS]]-DataTable[[#This Row],[MC_US]]</f>
        <v>-29930</v>
      </c>
      <c r="S617" s="26">
        <f>IF(DataTable[[#This Row],[COGS-MC_US]]&gt;=0,DataTable[[#This Row],[Manufacturing Price]],DataTable[[#This Row],[COGS]]/DataTable[[#This Row],[Units Sold]])</f>
        <v>250</v>
      </c>
    </row>
    <row r="618" spans="1:19" ht="12.75" x14ac:dyDescent="0.2">
      <c r="A618" s="20">
        <v>41640</v>
      </c>
      <c r="B618" t="s">
        <v>395</v>
      </c>
      <c r="C618" t="s">
        <v>394</v>
      </c>
      <c r="D618" t="s">
        <v>359</v>
      </c>
      <c r="E618" t="str">
        <f>VLOOKUP(DataTable[[#This Row],[Country]],Market!B:C,2,FALSE)</f>
        <v>North America</v>
      </c>
      <c r="F618" s="24">
        <v>10</v>
      </c>
      <c r="G618" s="24">
        <v>873750</v>
      </c>
      <c r="H618" s="24">
        <v>300</v>
      </c>
      <c r="I618" s="27">
        <v>3495</v>
      </c>
      <c r="J618" s="24">
        <v>1048500</v>
      </c>
      <c r="K618" s="24">
        <v>125820</v>
      </c>
      <c r="L618" s="1" t="s">
        <v>158</v>
      </c>
      <c r="M618" s="24">
        <v>922680</v>
      </c>
      <c r="N618" s="24">
        <f t="shared" si="9"/>
        <v>48930</v>
      </c>
      <c r="O618" t="str">
        <f>IF(DataTable[[#This Row],[Profit]]/DataTable[[#This Row],[COGS]]*100&gt;20,"Achived","Not Achived")</f>
        <v>Not Achived</v>
      </c>
      <c r="P618" s="25">
        <f>DataTable[[#This Row],[Profit]]/DataTable[[#This Row],[COGS]]</f>
        <v>5.6000000000000001E-2</v>
      </c>
      <c r="Q618">
        <f>DataTable[[#This Row],[Manufacturing Price]]*DataTable[[#This Row],[Units Sold]]</f>
        <v>34950</v>
      </c>
      <c r="R618" s="26">
        <f>DataTable[[#This Row],[COGS]]-DataTable[[#This Row],[MC_US]]</f>
        <v>838800</v>
      </c>
      <c r="S618" s="26">
        <f>IF(DataTable[[#This Row],[COGS-MC_US]]&gt;=0,DataTable[[#This Row],[Manufacturing Price]],DataTable[[#This Row],[COGS]]/DataTable[[#This Row],[Units Sold]])</f>
        <v>10</v>
      </c>
    </row>
    <row r="619" spans="1:19" ht="12.75" x14ac:dyDescent="0.2">
      <c r="A619" s="20">
        <v>41913</v>
      </c>
      <c r="B619" t="s">
        <v>389</v>
      </c>
      <c r="C619" t="s">
        <v>394</v>
      </c>
      <c r="D619" t="s">
        <v>359</v>
      </c>
      <c r="E619" t="str">
        <f>VLOOKUP(DataTable[[#This Row],[Country]],Market!B:C,2,FALSE)</f>
        <v>North America</v>
      </c>
      <c r="F619" s="24">
        <v>3</v>
      </c>
      <c r="G619" s="24">
        <v>252500</v>
      </c>
      <c r="H619" s="24">
        <v>300</v>
      </c>
      <c r="I619" s="27">
        <v>1010</v>
      </c>
      <c r="J619" s="24">
        <v>303000</v>
      </c>
      <c r="K619" s="24">
        <v>42420</v>
      </c>
      <c r="L619" s="1" t="s">
        <v>158</v>
      </c>
      <c r="M619" s="24">
        <v>260580</v>
      </c>
      <c r="N619" s="24">
        <f t="shared" si="9"/>
        <v>8080</v>
      </c>
      <c r="O619" t="str">
        <f>IF(DataTable[[#This Row],[Profit]]/DataTable[[#This Row],[COGS]]*100&gt;20,"Achived","Not Achived")</f>
        <v>Not Achived</v>
      </c>
      <c r="P619" s="25">
        <f>DataTable[[#This Row],[Profit]]/DataTable[[#This Row],[COGS]]</f>
        <v>3.2000000000000001E-2</v>
      </c>
      <c r="Q619">
        <f>DataTable[[#This Row],[Manufacturing Price]]*DataTable[[#This Row],[Units Sold]]</f>
        <v>3030</v>
      </c>
      <c r="R619" s="26">
        <f>DataTable[[#This Row],[COGS]]-DataTable[[#This Row],[MC_US]]</f>
        <v>249470</v>
      </c>
      <c r="S619" s="26">
        <f>IF(DataTable[[#This Row],[COGS-MC_US]]&gt;=0,DataTable[[#This Row],[Manufacturing Price]],DataTable[[#This Row],[COGS]]/DataTable[[#This Row],[Units Sold]])</f>
        <v>3</v>
      </c>
    </row>
    <row r="620" spans="1:19" ht="12.75" x14ac:dyDescent="0.2">
      <c r="A620" s="20">
        <v>41821</v>
      </c>
      <c r="B620" t="s">
        <v>396</v>
      </c>
      <c r="C620" t="s">
        <v>394</v>
      </c>
      <c r="D620" t="s">
        <v>359</v>
      </c>
      <c r="E620" t="str">
        <f>VLOOKUP(DataTable[[#This Row],[Country]],Market!B:C,2,FALSE)</f>
        <v>North America</v>
      </c>
      <c r="F620" s="24">
        <v>120</v>
      </c>
      <c r="G620" s="24">
        <v>615000</v>
      </c>
      <c r="H620" s="24">
        <v>300</v>
      </c>
      <c r="I620" s="27">
        <v>2460</v>
      </c>
      <c r="J620" s="24">
        <v>738000</v>
      </c>
      <c r="K620" s="24">
        <v>103320</v>
      </c>
      <c r="L620" s="1" t="s">
        <v>158</v>
      </c>
      <c r="M620" s="24">
        <v>634680</v>
      </c>
      <c r="N620" s="24">
        <f t="shared" si="9"/>
        <v>19680</v>
      </c>
      <c r="O620" t="str">
        <f>IF(DataTable[[#This Row],[Profit]]/DataTable[[#This Row],[COGS]]*100&gt;20,"Achived","Not Achived")</f>
        <v>Not Achived</v>
      </c>
      <c r="P620" s="25">
        <f>DataTable[[#This Row],[Profit]]/DataTable[[#This Row],[COGS]]</f>
        <v>3.2000000000000001E-2</v>
      </c>
      <c r="Q620">
        <f>DataTable[[#This Row],[Manufacturing Price]]*DataTable[[#This Row],[Units Sold]]</f>
        <v>295200</v>
      </c>
      <c r="R620" s="26">
        <f>DataTable[[#This Row],[COGS]]-DataTable[[#This Row],[MC_US]]</f>
        <v>319800</v>
      </c>
      <c r="S620" s="26">
        <f>IF(DataTable[[#This Row],[COGS-MC_US]]&gt;=0,DataTable[[#This Row],[Manufacturing Price]],DataTable[[#This Row],[COGS]]/DataTable[[#This Row],[Units Sold]])</f>
        <v>120</v>
      </c>
    </row>
    <row r="621" spans="1:19" ht="12.75" x14ac:dyDescent="0.2">
      <c r="A621" s="20">
        <v>41852</v>
      </c>
      <c r="B621" t="s">
        <v>397</v>
      </c>
      <c r="C621" t="s">
        <v>394</v>
      </c>
      <c r="D621" t="s">
        <v>359</v>
      </c>
      <c r="E621" t="str">
        <f>VLOOKUP(DataTable[[#This Row],[Country]],Market!B:C,2,FALSE)</f>
        <v>North America</v>
      </c>
      <c r="F621" s="24">
        <v>250</v>
      </c>
      <c r="G621" s="24">
        <v>635250</v>
      </c>
      <c r="H621" s="24">
        <v>300</v>
      </c>
      <c r="I621" s="27">
        <v>2541</v>
      </c>
      <c r="J621" s="24">
        <v>762300</v>
      </c>
      <c r="K621" s="24">
        <v>106722</v>
      </c>
      <c r="L621" s="1" t="s">
        <v>158</v>
      </c>
      <c r="M621" s="24">
        <v>655578</v>
      </c>
      <c r="N621" s="24">
        <f t="shared" si="9"/>
        <v>20328</v>
      </c>
      <c r="O621" t="str">
        <f>IF(DataTable[[#This Row],[Profit]]/DataTable[[#This Row],[COGS]]*100&gt;20,"Achived","Not Achived")</f>
        <v>Not Achived</v>
      </c>
      <c r="P621" s="25">
        <f>DataTable[[#This Row],[Profit]]/DataTable[[#This Row],[COGS]]</f>
        <v>3.2000000000000001E-2</v>
      </c>
      <c r="Q621">
        <f>DataTable[[#This Row],[Manufacturing Price]]*DataTable[[#This Row],[Units Sold]]</f>
        <v>635250</v>
      </c>
      <c r="R621" s="26">
        <f>DataTable[[#This Row],[COGS]]-DataTable[[#This Row],[MC_US]]</f>
        <v>0</v>
      </c>
      <c r="S621" s="26">
        <f>IF(DataTable[[#This Row],[COGS-MC_US]]&gt;=0,DataTable[[#This Row],[Manufacturing Price]],DataTable[[#This Row],[COGS]]/DataTable[[#This Row],[Units Sold]])</f>
        <v>250</v>
      </c>
    </row>
    <row r="622" spans="1:19" ht="12.75" x14ac:dyDescent="0.2">
      <c r="A622" s="20">
        <v>41913</v>
      </c>
      <c r="B622" t="s">
        <v>397</v>
      </c>
      <c r="C622" t="s">
        <v>394</v>
      </c>
      <c r="D622" t="s">
        <v>359</v>
      </c>
      <c r="E622" t="str">
        <f>VLOOKUP(DataTable[[#This Row],[Country]],Market!B:C,2,FALSE)</f>
        <v>North America</v>
      </c>
      <c r="F622" s="24">
        <v>250</v>
      </c>
      <c r="G622" s="24">
        <v>252500</v>
      </c>
      <c r="H622" s="24">
        <v>300</v>
      </c>
      <c r="I622" s="27">
        <v>1010</v>
      </c>
      <c r="J622" s="24">
        <v>303000</v>
      </c>
      <c r="K622" s="24">
        <v>42420</v>
      </c>
      <c r="L622" s="1" t="s">
        <v>158</v>
      </c>
      <c r="M622" s="24">
        <v>260580</v>
      </c>
      <c r="N622" s="24">
        <f t="shared" si="9"/>
        <v>8080</v>
      </c>
      <c r="O622" t="str">
        <f>IF(DataTable[[#This Row],[Profit]]/DataTable[[#This Row],[COGS]]*100&gt;20,"Achived","Not Achived")</f>
        <v>Not Achived</v>
      </c>
      <c r="P622" s="25">
        <f>DataTable[[#This Row],[Profit]]/DataTable[[#This Row],[COGS]]</f>
        <v>3.2000000000000001E-2</v>
      </c>
      <c r="Q622">
        <f>DataTable[[#This Row],[Manufacturing Price]]*DataTable[[#This Row],[Units Sold]]</f>
        <v>252500</v>
      </c>
      <c r="R622" s="26">
        <f>DataTable[[#This Row],[COGS]]-DataTable[[#This Row],[MC_US]]</f>
        <v>0</v>
      </c>
      <c r="S622" s="26">
        <f>IF(DataTable[[#This Row],[COGS-MC_US]]&gt;=0,DataTable[[#This Row],[Manufacturing Price]],DataTable[[#This Row],[COGS]]/DataTable[[#This Row],[Units Sold]])</f>
        <v>250</v>
      </c>
    </row>
    <row r="623" spans="1:19" ht="12.75" x14ac:dyDescent="0.2">
      <c r="A623" s="20">
        <v>41579</v>
      </c>
      <c r="B623" t="s">
        <v>396</v>
      </c>
      <c r="C623" t="s">
        <v>394</v>
      </c>
      <c r="D623" t="s">
        <v>359</v>
      </c>
      <c r="E623" t="str">
        <f>VLOOKUP(DataTable[[#This Row],[Country]],Market!B:C,2,FALSE)</f>
        <v>North America</v>
      </c>
      <c r="F623" s="24">
        <v>120</v>
      </c>
      <c r="G623" s="24">
        <v>643500</v>
      </c>
      <c r="H623" s="24">
        <v>300</v>
      </c>
      <c r="I623" s="27">
        <v>2574</v>
      </c>
      <c r="J623" s="24">
        <v>772200</v>
      </c>
      <c r="K623" s="24">
        <v>115830</v>
      </c>
      <c r="L623" s="1" t="s">
        <v>158</v>
      </c>
      <c r="M623" s="24">
        <v>656370</v>
      </c>
      <c r="N623" s="24">
        <f t="shared" si="9"/>
        <v>12870</v>
      </c>
      <c r="O623" t="str">
        <f>IF(DataTable[[#This Row],[Profit]]/DataTable[[#This Row],[COGS]]*100&gt;20,"Achived","Not Achived")</f>
        <v>Not Achived</v>
      </c>
      <c r="P623" s="25">
        <f>DataTable[[#This Row],[Profit]]/DataTable[[#This Row],[COGS]]</f>
        <v>0.02</v>
      </c>
      <c r="Q623">
        <f>DataTable[[#This Row],[Manufacturing Price]]*DataTable[[#This Row],[Units Sold]]</f>
        <v>308880</v>
      </c>
      <c r="R623" s="26">
        <f>DataTable[[#This Row],[COGS]]-DataTable[[#This Row],[MC_US]]</f>
        <v>334620</v>
      </c>
      <c r="S623" s="26">
        <f>IF(DataTable[[#This Row],[COGS-MC_US]]&gt;=0,DataTable[[#This Row],[Manufacturing Price]],DataTable[[#This Row],[COGS]]/DataTable[[#This Row],[Units Sold]])</f>
        <v>120</v>
      </c>
    </row>
    <row r="624" spans="1:19" ht="12.75" hidden="1" x14ac:dyDescent="0.2">
      <c r="A624" s="20">
        <v>41852</v>
      </c>
      <c r="B624" t="s">
        <v>391</v>
      </c>
      <c r="C624" t="s">
        <v>394</v>
      </c>
      <c r="D624" t="s">
        <v>352</v>
      </c>
      <c r="E624" t="str">
        <f>VLOOKUP(DataTable[[#This Row],[Country]],Market!B:C,2,FALSE)</f>
        <v>North America</v>
      </c>
      <c r="F624" s="24">
        <v>5</v>
      </c>
      <c r="G624" s="24">
        <v>239500</v>
      </c>
      <c r="H624" s="24">
        <v>300</v>
      </c>
      <c r="I624" s="27">
        <v>958</v>
      </c>
      <c r="J624" s="24">
        <v>287400</v>
      </c>
      <c r="K624" s="24">
        <v>0</v>
      </c>
      <c r="L624" s="1" t="s">
        <v>12</v>
      </c>
      <c r="M624" s="24">
        <v>287400</v>
      </c>
      <c r="N624" s="24">
        <f t="shared" si="9"/>
        <v>47900</v>
      </c>
      <c r="O624" t="str">
        <f>IF(DataTable[[#This Row],[Profit]]/DataTable[[#This Row],[COGS]]*100&gt;20,"Achived","Not Achived")</f>
        <v>Not Achived</v>
      </c>
      <c r="P624" s="25">
        <f>DataTable[[#This Row],[Profit]]/DataTable[[#This Row],[COGS]]</f>
        <v>0.2</v>
      </c>
      <c r="Q624">
        <f>DataTable[[#This Row],[Manufacturing Price]]*DataTable[[#This Row],[Units Sold]]</f>
        <v>4790</v>
      </c>
      <c r="R624" s="26">
        <f>DataTable[[#This Row],[COGS]]-DataTable[[#This Row],[MC_US]]</f>
        <v>234710</v>
      </c>
      <c r="S624" s="26">
        <f>IF(DataTable[[#This Row],[COGS-MC_US]]&gt;=0,DataTable[[#This Row],[Manufacturing Price]],DataTable[[#This Row],[COGS]]/DataTable[[#This Row],[Units Sold]])</f>
        <v>5</v>
      </c>
    </row>
    <row r="625" spans="1:19" ht="12.75" hidden="1" x14ac:dyDescent="0.2">
      <c r="A625" s="20">
        <v>41518</v>
      </c>
      <c r="B625" t="s">
        <v>395</v>
      </c>
      <c r="C625" t="s">
        <v>394</v>
      </c>
      <c r="D625" t="s">
        <v>352</v>
      </c>
      <c r="E625" t="str">
        <f>VLOOKUP(DataTable[[#This Row],[Country]],Market!B:C,2,FALSE)</f>
        <v>North America</v>
      </c>
      <c r="F625" s="24">
        <v>10</v>
      </c>
      <c r="G625" s="24">
        <v>197000</v>
      </c>
      <c r="H625" s="24">
        <v>300</v>
      </c>
      <c r="I625" s="27">
        <v>788</v>
      </c>
      <c r="J625" s="24">
        <v>236400</v>
      </c>
      <c r="K625" s="24">
        <v>0</v>
      </c>
      <c r="L625" s="1" t="s">
        <v>12</v>
      </c>
      <c r="M625" s="24">
        <v>236400</v>
      </c>
      <c r="N625" s="24">
        <f t="shared" si="9"/>
        <v>39400</v>
      </c>
      <c r="O625" t="str">
        <f>IF(DataTable[[#This Row],[Profit]]/DataTable[[#This Row],[COGS]]*100&gt;20,"Achived","Not Achived")</f>
        <v>Not Achived</v>
      </c>
      <c r="P625" s="25">
        <f>DataTable[[#This Row],[Profit]]/DataTable[[#This Row],[COGS]]</f>
        <v>0.2</v>
      </c>
      <c r="Q625">
        <f>DataTable[[#This Row],[Manufacturing Price]]*DataTable[[#This Row],[Units Sold]]</f>
        <v>7880</v>
      </c>
      <c r="R625" s="26">
        <f>DataTable[[#This Row],[COGS]]-DataTable[[#This Row],[MC_US]]</f>
        <v>189120</v>
      </c>
      <c r="S625" s="26">
        <f>IF(DataTable[[#This Row],[COGS-MC_US]]&gt;=0,DataTable[[#This Row],[Manufacturing Price]],DataTable[[#This Row],[COGS]]/DataTable[[#This Row],[Units Sold]])</f>
        <v>10</v>
      </c>
    </row>
    <row r="626" spans="1:19" ht="12.75" hidden="1" x14ac:dyDescent="0.2">
      <c r="A626" s="20">
        <v>41548</v>
      </c>
      <c r="B626" t="s">
        <v>389</v>
      </c>
      <c r="C626" t="s">
        <v>394</v>
      </c>
      <c r="D626" t="s">
        <v>352</v>
      </c>
      <c r="E626" t="str">
        <f>VLOOKUP(DataTable[[#This Row],[Country]],Market!B:C,2,FALSE)</f>
        <v>North America</v>
      </c>
      <c r="F626" s="24">
        <v>3</v>
      </c>
      <c r="G626" s="24">
        <v>123500</v>
      </c>
      <c r="H626" s="24">
        <v>300</v>
      </c>
      <c r="I626" s="27">
        <v>494</v>
      </c>
      <c r="J626" s="24">
        <v>148200</v>
      </c>
      <c r="K626" s="24">
        <v>1482</v>
      </c>
      <c r="L626" s="1" t="s">
        <v>57</v>
      </c>
      <c r="M626" s="24">
        <v>146718</v>
      </c>
      <c r="N626" s="24">
        <f t="shared" si="9"/>
        <v>23218</v>
      </c>
      <c r="O626" t="str">
        <f>IF(DataTable[[#This Row],[Profit]]/DataTable[[#This Row],[COGS]]*100&gt;20,"Achived","Not Achived")</f>
        <v>Not Achived</v>
      </c>
      <c r="P626" s="25">
        <f>DataTable[[#This Row],[Profit]]/DataTable[[#This Row],[COGS]]</f>
        <v>0.188</v>
      </c>
      <c r="Q626">
        <f>DataTable[[#This Row],[Manufacturing Price]]*DataTable[[#This Row],[Units Sold]]</f>
        <v>1482</v>
      </c>
      <c r="R626" s="26">
        <f>DataTable[[#This Row],[COGS]]-DataTable[[#This Row],[MC_US]]</f>
        <v>122018</v>
      </c>
      <c r="S626" s="26">
        <f>IF(DataTable[[#This Row],[COGS-MC_US]]&gt;=0,DataTable[[#This Row],[Manufacturing Price]],DataTable[[#This Row],[COGS]]/DataTable[[#This Row],[Units Sold]])</f>
        <v>3</v>
      </c>
    </row>
    <row r="627" spans="1:19" ht="12.75" hidden="1" x14ac:dyDescent="0.2">
      <c r="A627" s="20">
        <v>41548</v>
      </c>
      <c r="B627" t="s">
        <v>397</v>
      </c>
      <c r="C627" t="s">
        <v>394</v>
      </c>
      <c r="D627" t="s">
        <v>352</v>
      </c>
      <c r="E627" t="str">
        <f>VLOOKUP(DataTable[[#This Row],[Country]],Market!B:C,2,FALSE)</f>
        <v>North America</v>
      </c>
      <c r="F627" s="24">
        <v>250</v>
      </c>
      <c r="G627" s="24">
        <v>123500</v>
      </c>
      <c r="H627" s="24">
        <v>300</v>
      </c>
      <c r="I627" s="27">
        <v>494</v>
      </c>
      <c r="J627" s="24">
        <v>148200</v>
      </c>
      <c r="K627" s="24">
        <v>1482</v>
      </c>
      <c r="L627" s="1" t="s">
        <v>57</v>
      </c>
      <c r="M627" s="24">
        <v>146718</v>
      </c>
      <c r="N627" s="24">
        <f t="shared" si="9"/>
        <v>23218</v>
      </c>
      <c r="O627" t="str">
        <f>IF(DataTable[[#This Row],[Profit]]/DataTable[[#This Row],[COGS]]*100&gt;20,"Achived","Not Achived")</f>
        <v>Not Achived</v>
      </c>
      <c r="P627" s="25">
        <f>DataTable[[#This Row],[Profit]]/DataTable[[#This Row],[COGS]]</f>
        <v>0.188</v>
      </c>
      <c r="Q627">
        <f>DataTable[[#This Row],[Manufacturing Price]]*DataTable[[#This Row],[Units Sold]]</f>
        <v>123500</v>
      </c>
      <c r="R627" s="26">
        <f>DataTable[[#This Row],[COGS]]-DataTable[[#This Row],[MC_US]]</f>
        <v>0</v>
      </c>
      <c r="S627" s="26">
        <f>IF(DataTable[[#This Row],[COGS-MC_US]]&gt;=0,DataTable[[#This Row],[Manufacturing Price]],DataTable[[#This Row],[COGS]]/DataTable[[#This Row],[Units Sold]])</f>
        <v>250</v>
      </c>
    </row>
    <row r="628" spans="1:19" ht="12.75" hidden="1" x14ac:dyDescent="0.2">
      <c r="A628" s="20">
        <v>41699</v>
      </c>
      <c r="B628" t="s">
        <v>398</v>
      </c>
      <c r="C628" t="s">
        <v>394</v>
      </c>
      <c r="D628" t="s">
        <v>352</v>
      </c>
      <c r="E628" t="str">
        <f>VLOOKUP(DataTable[[#This Row],[Country]],Market!B:C,2,FALSE)</f>
        <v>North America</v>
      </c>
      <c r="F628" s="24">
        <v>260</v>
      </c>
      <c r="G628" s="24">
        <v>275250</v>
      </c>
      <c r="H628" s="24">
        <v>300</v>
      </c>
      <c r="I628" s="27">
        <v>1101</v>
      </c>
      <c r="J628" s="24">
        <v>330300</v>
      </c>
      <c r="K628" s="24">
        <v>6606</v>
      </c>
      <c r="L628" s="1" t="s">
        <v>57</v>
      </c>
      <c r="M628" s="24">
        <v>323694</v>
      </c>
      <c r="N628" s="24">
        <f t="shared" si="9"/>
        <v>48444</v>
      </c>
      <c r="O628" t="str">
        <f>IF(DataTable[[#This Row],[Profit]]/DataTable[[#This Row],[COGS]]*100&gt;20,"Achived","Not Achived")</f>
        <v>Not Achived</v>
      </c>
      <c r="P628" s="25">
        <f>DataTable[[#This Row],[Profit]]/DataTable[[#This Row],[COGS]]</f>
        <v>0.17599999999999999</v>
      </c>
      <c r="Q628">
        <f>DataTable[[#This Row],[Manufacturing Price]]*DataTable[[#This Row],[Units Sold]]</f>
        <v>286260</v>
      </c>
      <c r="R628" s="26">
        <f>DataTable[[#This Row],[COGS]]-DataTable[[#This Row],[MC_US]]</f>
        <v>-11010</v>
      </c>
      <c r="S628" s="26">
        <f>IF(DataTable[[#This Row],[COGS-MC_US]]&gt;=0,DataTable[[#This Row],[Manufacturing Price]],DataTable[[#This Row],[COGS]]/DataTable[[#This Row],[Units Sold]])</f>
        <v>250</v>
      </c>
    </row>
    <row r="629" spans="1:19" ht="12.75" hidden="1" x14ac:dyDescent="0.2">
      <c r="A629" s="20">
        <v>41609</v>
      </c>
      <c r="B629" t="s">
        <v>391</v>
      </c>
      <c r="C629" t="s">
        <v>394</v>
      </c>
      <c r="D629" t="s">
        <v>352</v>
      </c>
      <c r="E629" t="str">
        <f>VLOOKUP(DataTable[[#This Row],[Country]],Market!B:C,2,FALSE)</f>
        <v>North America</v>
      </c>
      <c r="F629" s="24">
        <v>5</v>
      </c>
      <c r="G629" s="24">
        <v>275000</v>
      </c>
      <c r="H629" s="24">
        <v>300</v>
      </c>
      <c r="I629" s="27">
        <v>1100</v>
      </c>
      <c r="J629" s="24">
        <v>330000</v>
      </c>
      <c r="K629" s="24">
        <v>16500</v>
      </c>
      <c r="L629" s="1" t="s">
        <v>124</v>
      </c>
      <c r="M629" s="24">
        <v>313500</v>
      </c>
      <c r="N629" s="24">
        <f t="shared" si="9"/>
        <v>38500</v>
      </c>
      <c r="O629" t="str">
        <f>IF(DataTable[[#This Row],[Profit]]/DataTable[[#This Row],[COGS]]*100&gt;20,"Achived","Not Achived")</f>
        <v>Not Achived</v>
      </c>
      <c r="P629" s="25">
        <f>DataTable[[#This Row],[Profit]]/DataTable[[#This Row],[COGS]]</f>
        <v>0.14000000000000001</v>
      </c>
      <c r="Q629">
        <f>DataTable[[#This Row],[Manufacturing Price]]*DataTable[[#This Row],[Units Sold]]</f>
        <v>5500</v>
      </c>
      <c r="R629" s="26">
        <f>DataTable[[#This Row],[COGS]]-DataTable[[#This Row],[MC_US]]</f>
        <v>269500</v>
      </c>
      <c r="S629" s="26">
        <f>IF(DataTable[[#This Row],[COGS-MC_US]]&gt;=0,DataTable[[#This Row],[Manufacturing Price]],DataTable[[#This Row],[COGS]]/DataTable[[#This Row],[Units Sold]])</f>
        <v>5</v>
      </c>
    </row>
    <row r="630" spans="1:19" ht="12.75" hidden="1" x14ac:dyDescent="0.2">
      <c r="A630" s="20">
        <v>41730</v>
      </c>
      <c r="B630" t="s">
        <v>395</v>
      </c>
      <c r="C630" t="s">
        <v>394</v>
      </c>
      <c r="D630" t="s">
        <v>352</v>
      </c>
      <c r="E630" t="str">
        <f>VLOOKUP(DataTable[[#This Row],[Country]],Market!B:C,2,FALSE)</f>
        <v>North America</v>
      </c>
      <c r="F630" s="24">
        <v>10</v>
      </c>
      <c r="G630" s="24">
        <v>401750</v>
      </c>
      <c r="H630" s="24">
        <v>300</v>
      </c>
      <c r="I630" s="27">
        <v>1607</v>
      </c>
      <c r="J630" s="24">
        <v>482100</v>
      </c>
      <c r="K630" s="24">
        <v>24105</v>
      </c>
      <c r="L630" s="1" t="s">
        <v>124</v>
      </c>
      <c r="M630" s="24">
        <v>457995</v>
      </c>
      <c r="N630" s="24">
        <f t="shared" si="9"/>
        <v>56245</v>
      </c>
      <c r="O630" t="str">
        <f>IF(DataTable[[#This Row],[Profit]]/DataTable[[#This Row],[COGS]]*100&gt;20,"Achived","Not Achived")</f>
        <v>Not Achived</v>
      </c>
      <c r="P630" s="25">
        <f>DataTable[[#This Row],[Profit]]/DataTable[[#This Row],[COGS]]</f>
        <v>0.14000000000000001</v>
      </c>
      <c r="Q630">
        <f>DataTable[[#This Row],[Manufacturing Price]]*DataTable[[#This Row],[Units Sold]]</f>
        <v>16070</v>
      </c>
      <c r="R630" s="26">
        <f>DataTable[[#This Row],[COGS]]-DataTable[[#This Row],[MC_US]]</f>
        <v>385680</v>
      </c>
      <c r="S630" s="26">
        <f>IF(DataTable[[#This Row],[COGS-MC_US]]&gt;=0,DataTable[[#This Row],[Manufacturing Price]],DataTable[[#This Row],[COGS]]/DataTable[[#This Row],[Units Sold]])</f>
        <v>10</v>
      </c>
    </row>
    <row r="631" spans="1:19" ht="12.75" hidden="1" x14ac:dyDescent="0.2">
      <c r="A631" s="20">
        <v>41671</v>
      </c>
      <c r="B631" t="s">
        <v>397</v>
      </c>
      <c r="C631" t="s">
        <v>394</v>
      </c>
      <c r="D631" t="s">
        <v>352</v>
      </c>
      <c r="E631" t="str">
        <f>VLOOKUP(DataTable[[#This Row],[Country]],Market!B:C,2,FALSE)</f>
        <v>North America</v>
      </c>
      <c r="F631" s="24">
        <v>250</v>
      </c>
      <c r="G631" s="24">
        <v>686750</v>
      </c>
      <c r="H631" s="24">
        <v>300</v>
      </c>
      <c r="I631" s="27">
        <v>2747</v>
      </c>
      <c r="J631" s="24">
        <v>824100</v>
      </c>
      <c r="K631" s="24">
        <v>57687</v>
      </c>
      <c r="L631" s="1" t="s">
        <v>124</v>
      </c>
      <c r="M631" s="24">
        <v>766413</v>
      </c>
      <c r="N631" s="24">
        <f t="shared" si="9"/>
        <v>79663</v>
      </c>
      <c r="O631" t="str">
        <f>IF(DataTable[[#This Row],[Profit]]/DataTable[[#This Row],[COGS]]*100&gt;20,"Achived","Not Achived")</f>
        <v>Not Achived</v>
      </c>
      <c r="P631" s="25">
        <f>DataTable[[#This Row],[Profit]]/DataTable[[#This Row],[COGS]]</f>
        <v>0.11600000000000001</v>
      </c>
      <c r="Q631">
        <f>DataTable[[#This Row],[Manufacturing Price]]*DataTable[[#This Row],[Units Sold]]</f>
        <v>686750</v>
      </c>
      <c r="R631" s="26">
        <f>DataTable[[#This Row],[COGS]]-DataTable[[#This Row],[MC_US]]</f>
        <v>0</v>
      </c>
      <c r="S631" s="26">
        <f>IF(DataTable[[#This Row],[COGS-MC_US]]&gt;=0,DataTable[[#This Row],[Manufacturing Price]],DataTable[[#This Row],[COGS]]/DataTable[[#This Row],[Units Sold]])</f>
        <v>250</v>
      </c>
    </row>
    <row r="632" spans="1:19" ht="12.75" hidden="1" x14ac:dyDescent="0.2">
      <c r="A632" s="20">
        <v>41791</v>
      </c>
      <c r="B632" t="s">
        <v>395</v>
      </c>
      <c r="C632" t="s">
        <v>394</v>
      </c>
      <c r="D632" t="s">
        <v>352</v>
      </c>
      <c r="E632" t="str">
        <f>VLOOKUP(DataTable[[#This Row],[Country]],Market!B:C,2,FALSE)</f>
        <v>North America</v>
      </c>
      <c r="F632" s="24">
        <v>10</v>
      </c>
      <c r="G632" s="24">
        <v>615000</v>
      </c>
      <c r="H632" s="24">
        <v>300</v>
      </c>
      <c r="I632" s="27">
        <v>2460</v>
      </c>
      <c r="J632" s="24">
        <v>738000</v>
      </c>
      <c r="K632" s="24">
        <v>59040</v>
      </c>
      <c r="L632" s="1" t="s">
        <v>124</v>
      </c>
      <c r="M632" s="24">
        <v>678960</v>
      </c>
      <c r="N632" s="24">
        <f t="shared" si="9"/>
        <v>63960</v>
      </c>
      <c r="O632" t="str">
        <f>IF(DataTable[[#This Row],[Profit]]/DataTable[[#This Row],[COGS]]*100&gt;20,"Achived","Not Achived")</f>
        <v>Not Achived</v>
      </c>
      <c r="P632" s="25">
        <f>DataTable[[#This Row],[Profit]]/DataTable[[#This Row],[COGS]]</f>
        <v>0.104</v>
      </c>
      <c r="Q632">
        <f>DataTable[[#This Row],[Manufacturing Price]]*DataTable[[#This Row],[Units Sold]]</f>
        <v>24600</v>
      </c>
      <c r="R632" s="26">
        <f>DataTable[[#This Row],[COGS]]-DataTable[[#This Row],[MC_US]]</f>
        <v>590400</v>
      </c>
      <c r="S632" s="26">
        <f>IF(DataTable[[#This Row],[COGS-MC_US]]&gt;=0,DataTable[[#This Row],[Manufacturing Price]],DataTable[[#This Row],[COGS]]/DataTable[[#This Row],[Units Sold]])</f>
        <v>10</v>
      </c>
    </row>
    <row r="633" spans="1:19" ht="12.75" hidden="1" x14ac:dyDescent="0.2">
      <c r="A633" s="20">
        <v>41974</v>
      </c>
      <c r="B633" t="s">
        <v>396</v>
      </c>
      <c r="C633" t="s">
        <v>394</v>
      </c>
      <c r="D633" t="s">
        <v>352</v>
      </c>
      <c r="E633" t="str">
        <f>VLOOKUP(DataTable[[#This Row],[Country]],Market!B:C,2,FALSE)</f>
        <v>North America</v>
      </c>
      <c r="F633" s="24">
        <v>120</v>
      </c>
      <c r="G633" s="24">
        <v>158750</v>
      </c>
      <c r="H633" s="24">
        <v>300</v>
      </c>
      <c r="I633" s="27">
        <v>635</v>
      </c>
      <c r="J633" s="24">
        <v>190500</v>
      </c>
      <c r="K633" s="24">
        <v>15240</v>
      </c>
      <c r="L633" s="1" t="s">
        <v>124</v>
      </c>
      <c r="M633" s="24">
        <v>175260</v>
      </c>
      <c r="N633" s="24">
        <f t="shared" si="9"/>
        <v>16510</v>
      </c>
      <c r="O633" t="str">
        <f>IF(DataTable[[#This Row],[Profit]]/DataTable[[#This Row],[COGS]]*100&gt;20,"Achived","Not Achived")</f>
        <v>Not Achived</v>
      </c>
      <c r="P633" s="25">
        <f>DataTable[[#This Row],[Profit]]/DataTable[[#This Row],[COGS]]</f>
        <v>0.104</v>
      </c>
      <c r="Q633">
        <f>DataTable[[#This Row],[Manufacturing Price]]*DataTable[[#This Row],[Units Sold]]</f>
        <v>76200</v>
      </c>
      <c r="R633" s="26">
        <f>DataTable[[#This Row],[COGS]]-DataTable[[#This Row],[MC_US]]</f>
        <v>82550</v>
      </c>
      <c r="S633" s="26">
        <f>IF(DataTable[[#This Row],[COGS-MC_US]]&gt;=0,DataTable[[#This Row],[Manufacturing Price]],DataTable[[#This Row],[COGS]]/DataTable[[#This Row],[Units Sold]])</f>
        <v>120</v>
      </c>
    </row>
    <row r="634" spans="1:19" ht="12.75" hidden="1" x14ac:dyDescent="0.2">
      <c r="A634" s="20">
        <v>41791</v>
      </c>
      <c r="B634" t="s">
        <v>398</v>
      </c>
      <c r="C634" t="s">
        <v>394</v>
      </c>
      <c r="D634" t="s">
        <v>352</v>
      </c>
      <c r="E634" t="str">
        <f>VLOOKUP(DataTable[[#This Row],[Country]],Market!B:C,2,FALSE)</f>
        <v>North America</v>
      </c>
      <c r="F634" s="24">
        <v>260</v>
      </c>
      <c r="G634" s="24">
        <v>615000</v>
      </c>
      <c r="H634" s="24">
        <v>300</v>
      </c>
      <c r="I634" s="27">
        <v>2460</v>
      </c>
      <c r="J634" s="24">
        <v>738000</v>
      </c>
      <c r="K634" s="24">
        <v>59040</v>
      </c>
      <c r="L634" s="1" t="s">
        <v>124</v>
      </c>
      <c r="M634" s="24">
        <v>678960</v>
      </c>
      <c r="N634" s="24">
        <f t="shared" si="9"/>
        <v>63960</v>
      </c>
      <c r="O634" t="str">
        <f>IF(DataTable[[#This Row],[Profit]]/DataTable[[#This Row],[COGS]]*100&gt;20,"Achived","Not Achived")</f>
        <v>Not Achived</v>
      </c>
      <c r="P634" s="25">
        <f>DataTable[[#This Row],[Profit]]/DataTable[[#This Row],[COGS]]</f>
        <v>0.104</v>
      </c>
      <c r="Q634">
        <f>DataTable[[#This Row],[Manufacturing Price]]*DataTable[[#This Row],[Units Sold]]</f>
        <v>639600</v>
      </c>
      <c r="R634" s="26">
        <f>DataTable[[#This Row],[COGS]]-DataTable[[#This Row],[MC_US]]</f>
        <v>-24600</v>
      </c>
      <c r="S634" s="26">
        <f>IF(DataTable[[#This Row],[COGS-MC_US]]&gt;=0,DataTable[[#This Row],[Manufacturing Price]],DataTable[[#This Row],[COGS]]/DataTable[[#This Row],[Units Sold]])</f>
        <v>250</v>
      </c>
    </row>
    <row r="635" spans="1:19" ht="12.75" hidden="1" x14ac:dyDescent="0.2">
      <c r="A635" s="20">
        <v>41974</v>
      </c>
      <c r="B635" t="s">
        <v>398</v>
      </c>
      <c r="C635" t="s">
        <v>394</v>
      </c>
      <c r="D635" t="s">
        <v>352</v>
      </c>
      <c r="E635" t="str">
        <f>VLOOKUP(DataTable[[#This Row],[Country]],Market!B:C,2,FALSE)</f>
        <v>North America</v>
      </c>
      <c r="F635" s="24">
        <v>260</v>
      </c>
      <c r="G635" s="24">
        <v>158750</v>
      </c>
      <c r="H635" s="24">
        <v>300</v>
      </c>
      <c r="I635" s="27">
        <v>635</v>
      </c>
      <c r="J635" s="24">
        <v>190500</v>
      </c>
      <c r="K635" s="24">
        <v>15240</v>
      </c>
      <c r="L635" s="1" t="s">
        <v>124</v>
      </c>
      <c r="M635" s="24">
        <v>175260</v>
      </c>
      <c r="N635" s="24">
        <f t="shared" si="9"/>
        <v>16510</v>
      </c>
      <c r="O635" t="str">
        <f>IF(DataTable[[#This Row],[Profit]]/DataTable[[#This Row],[COGS]]*100&gt;20,"Achived","Not Achived")</f>
        <v>Not Achived</v>
      </c>
      <c r="P635" s="25">
        <f>DataTable[[#This Row],[Profit]]/DataTable[[#This Row],[COGS]]</f>
        <v>0.104</v>
      </c>
      <c r="Q635">
        <f>DataTable[[#This Row],[Manufacturing Price]]*DataTable[[#This Row],[Units Sold]]</f>
        <v>165100</v>
      </c>
      <c r="R635" s="26">
        <f>DataTable[[#This Row],[COGS]]-DataTable[[#This Row],[MC_US]]</f>
        <v>-6350</v>
      </c>
      <c r="S635" s="26">
        <f>IF(DataTable[[#This Row],[COGS-MC_US]]&gt;=0,DataTable[[#This Row],[Manufacturing Price]],DataTable[[#This Row],[COGS]]/DataTable[[#This Row],[Units Sold]])</f>
        <v>250</v>
      </c>
    </row>
    <row r="636" spans="1:19" ht="12.75" hidden="1" x14ac:dyDescent="0.2">
      <c r="A636" s="20">
        <v>41640</v>
      </c>
      <c r="B636" t="s">
        <v>395</v>
      </c>
      <c r="C636" t="s">
        <v>394</v>
      </c>
      <c r="D636" t="s">
        <v>352</v>
      </c>
      <c r="E636" t="str">
        <f>VLOOKUP(DataTable[[#This Row],[Country]],Market!B:C,2,FALSE)</f>
        <v>North America</v>
      </c>
      <c r="F636" s="24">
        <v>10</v>
      </c>
      <c r="G636" s="24">
        <v>641250</v>
      </c>
      <c r="H636" s="24">
        <v>300</v>
      </c>
      <c r="I636" s="27">
        <v>2565</v>
      </c>
      <c r="J636" s="24">
        <v>769500</v>
      </c>
      <c r="K636" s="24">
        <v>69255</v>
      </c>
      <c r="L636" s="1" t="s">
        <v>124</v>
      </c>
      <c r="M636" s="24">
        <v>700245</v>
      </c>
      <c r="N636" s="24">
        <f t="shared" si="9"/>
        <v>58995</v>
      </c>
      <c r="O636" t="str">
        <f>IF(DataTable[[#This Row],[Profit]]/DataTable[[#This Row],[COGS]]*100&gt;20,"Achived","Not Achived")</f>
        <v>Not Achived</v>
      </c>
      <c r="P636" s="25">
        <f>DataTable[[#This Row],[Profit]]/DataTable[[#This Row],[COGS]]</f>
        <v>9.1999999999999998E-2</v>
      </c>
      <c r="Q636">
        <f>DataTable[[#This Row],[Manufacturing Price]]*DataTable[[#This Row],[Units Sold]]</f>
        <v>25650</v>
      </c>
      <c r="R636" s="26">
        <f>DataTable[[#This Row],[COGS]]-DataTable[[#This Row],[MC_US]]</f>
        <v>615600</v>
      </c>
      <c r="S636" s="26">
        <f>IF(DataTable[[#This Row],[COGS-MC_US]]&gt;=0,DataTable[[#This Row],[Manufacturing Price]],DataTable[[#This Row],[COGS]]/DataTable[[#This Row],[Units Sold]])</f>
        <v>10</v>
      </c>
    </row>
    <row r="637" spans="1:19" ht="12.75" x14ac:dyDescent="0.2">
      <c r="A637" s="20">
        <v>41760</v>
      </c>
      <c r="B637" t="s">
        <v>395</v>
      </c>
      <c r="C637" t="s">
        <v>394</v>
      </c>
      <c r="D637" t="s">
        <v>352</v>
      </c>
      <c r="E637" t="str">
        <f>VLOOKUP(DataTable[[#This Row],[Country]],Market!B:C,2,FALSE)</f>
        <v>North America</v>
      </c>
      <c r="F637" s="24">
        <v>10</v>
      </c>
      <c r="G637" s="24">
        <v>147750</v>
      </c>
      <c r="H637" s="24">
        <v>300</v>
      </c>
      <c r="I637" s="27">
        <v>591</v>
      </c>
      <c r="J637" s="24">
        <v>177300</v>
      </c>
      <c r="K637" s="24">
        <v>17730</v>
      </c>
      <c r="L637" s="1" t="s">
        <v>158</v>
      </c>
      <c r="M637" s="24">
        <v>159570</v>
      </c>
      <c r="N637" s="24">
        <f t="shared" si="9"/>
        <v>11820</v>
      </c>
      <c r="O637" t="str">
        <f>IF(DataTable[[#This Row],[Profit]]/DataTable[[#This Row],[COGS]]*100&gt;20,"Achived","Not Achived")</f>
        <v>Not Achived</v>
      </c>
      <c r="P637" s="25">
        <f>DataTable[[#This Row],[Profit]]/DataTable[[#This Row],[COGS]]</f>
        <v>0.08</v>
      </c>
      <c r="Q637">
        <f>DataTable[[#This Row],[Manufacturing Price]]*DataTable[[#This Row],[Units Sold]]</f>
        <v>5910</v>
      </c>
      <c r="R637" s="26">
        <f>DataTable[[#This Row],[COGS]]-DataTable[[#This Row],[MC_US]]</f>
        <v>141840</v>
      </c>
      <c r="S637" s="26">
        <f>IF(DataTable[[#This Row],[COGS-MC_US]]&gt;=0,DataTable[[#This Row],[Manufacturing Price]],DataTable[[#This Row],[COGS]]/DataTable[[#This Row],[Units Sold]])</f>
        <v>10</v>
      </c>
    </row>
    <row r="638" spans="1:19" ht="12.75" x14ac:dyDescent="0.2">
      <c r="A638" s="20">
        <v>41883</v>
      </c>
      <c r="B638" t="s">
        <v>397</v>
      </c>
      <c r="C638" t="s">
        <v>394</v>
      </c>
      <c r="D638" t="s">
        <v>352</v>
      </c>
      <c r="E638" t="str">
        <f>VLOOKUP(DataTable[[#This Row],[Country]],Market!B:C,2,FALSE)</f>
        <v>North America</v>
      </c>
      <c r="F638" s="24">
        <v>250</v>
      </c>
      <c r="G638" s="24">
        <v>108000</v>
      </c>
      <c r="H638" s="24">
        <v>300</v>
      </c>
      <c r="I638" s="27">
        <v>432</v>
      </c>
      <c r="J638" s="24">
        <v>129600</v>
      </c>
      <c r="K638" s="24">
        <v>12960</v>
      </c>
      <c r="L638" s="1" t="s">
        <v>158</v>
      </c>
      <c r="M638" s="24">
        <v>116640</v>
      </c>
      <c r="N638" s="24">
        <f t="shared" si="9"/>
        <v>8640</v>
      </c>
      <c r="O638" t="str">
        <f>IF(DataTable[[#This Row],[Profit]]/DataTable[[#This Row],[COGS]]*100&gt;20,"Achived","Not Achived")</f>
        <v>Not Achived</v>
      </c>
      <c r="P638" s="25">
        <f>DataTable[[#This Row],[Profit]]/DataTable[[#This Row],[COGS]]</f>
        <v>0.08</v>
      </c>
      <c r="Q638">
        <f>DataTable[[#This Row],[Manufacturing Price]]*DataTable[[#This Row],[Units Sold]]</f>
        <v>108000</v>
      </c>
      <c r="R638" s="26">
        <f>DataTable[[#This Row],[COGS]]-DataTable[[#This Row],[MC_US]]</f>
        <v>0</v>
      </c>
      <c r="S638" s="26">
        <f>IF(DataTable[[#This Row],[COGS-MC_US]]&gt;=0,DataTable[[#This Row],[Manufacturing Price]],DataTable[[#This Row],[COGS]]/DataTable[[#This Row],[Units Sold]])</f>
        <v>250</v>
      </c>
    </row>
    <row r="639" spans="1:19" ht="12.75" x14ac:dyDescent="0.2">
      <c r="A639" s="20">
        <v>41944</v>
      </c>
      <c r="B639" t="s">
        <v>395</v>
      </c>
      <c r="C639" t="s">
        <v>394</v>
      </c>
      <c r="D639" t="s">
        <v>352</v>
      </c>
      <c r="E639" t="str">
        <f>VLOOKUP(DataTable[[#This Row],[Country]],Market!B:C,2,FALSE)</f>
        <v>North America</v>
      </c>
      <c r="F639" s="24">
        <v>10</v>
      </c>
      <c r="G639" s="24">
        <v>537500</v>
      </c>
      <c r="H639" s="24">
        <v>300</v>
      </c>
      <c r="I639" s="27">
        <v>2150</v>
      </c>
      <c r="J639" s="24">
        <v>645000</v>
      </c>
      <c r="K639" s="24">
        <v>77400</v>
      </c>
      <c r="L639" s="1" t="s">
        <v>158</v>
      </c>
      <c r="M639" s="24">
        <v>567600</v>
      </c>
      <c r="N639" s="24">
        <f t="shared" si="9"/>
        <v>30100</v>
      </c>
      <c r="O639" t="str">
        <f>IF(DataTable[[#This Row],[Profit]]/DataTable[[#This Row],[COGS]]*100&gt;20,"Achived","Not Achived")</f>
        <v>Not Achived</v>
      </c>
      <c r="P639" s="25">
        <f>DataTable[[#This Row],[Profit]]/DataTable[[#This Row],[COGS]]</f>
        <v>5.6000000000000001E-2</v>
      </c>
      <c r="Q639">
        <f>DataTable[[#This Row],[Manufacturing Price]]*DataTable[[#This Row],[Units Sold]]</f>
        <v>21500</v>
      </c>
      <c r="R639" s="26">
        <f>DataTable[[#This Row],[COGS]]-DataTable[[#This Row],[MC_US]]</f>
        <v>516000</v>
      </c>
      <c r="S639" s="26">
        <f>IF(DataTable[[#This Row],[COGS-MC_US]]&gt;=0,DataTable[[#This Row],[Manufacturing Price]],DataTable[[#This Row],[COGS]]/DataTable[[#This Row],[Units Sold]])</f>
        <v>10</v>
      </c>
    </row>
    <row r="640" spans="1:19" ht="12.75" x14ac:dyDescent="0.2">
      <c r="A640" s="20">
        <v>41579</v>
      </c>
      <c r="B640" t="s">
        <v>396</v>
      </c>
      <c r="C640" t="s">
        <v>394</v>
      </c>
      <c r="D640" t="s">
        <v>352</v>
      </c>
      <c r="E640" t="str">
        <f>VLOOKUP(DataTable[[#This Row],[Country]],Market!B:C,2,FALSE)</f>
        <v>North America</v>
      </c>
      <c r="F640" s="24">
        <v>120</v>
      </c>
      <c r="G640" s="24">
        <v>651250</v>
      </c>
      <c r="H640" s="24">
        <v>300</v>
      </c>
      <c r="I640" s="27">
        <v>2605</v>
      </c>
      <c r="J640" s="24">
        <v>781500</v>
      </c>
      <c r="K640" s="24">
        <v>101595</v>
      </c>
      <c r="L640" s="1" t="s">
        <v>158</v>
      </c>
      <c r="M640" s="24">
        <v>679905</v>
      </c>
      <c r="N640" s="24">
        <f t="shared" si="9"/>
        <v>28655</v>
      </c>
      <c r="O640" t="str">
        <f>IF(DataTable[[#This Row],[Profit]]/DataTable[[#This Row],[COGS]]*100&gt;20,"Achived","Not Achived")</f>
        <v>Not Achived</v>
      </c>
      <c r="P640" s="25">
        <f>DataTable[[#This Row],[Profit]]/DataTable[[#This Row],[COGS]]</f>
        <v>4.3999999999999997E-2</v>
      </c>
      <c r="Q640">
        <f>DataTable[[#This Row],[Manufacturing Price]]*DataTable[[#This Row],[Units Sold]]</f>
        <v>312600</v>
      </c>
      <c r="R640" s="26">
        <f>DataTable[[#This Row],[COGS]]-DataTable[[#This Row],[MC_US]]</f>
        <v>338650</v>
      </c>
      <c r="S640" s="26">
        <f>IF(DataTable[[#This Row],[COGS-MC_US]]&gt;=0,DataTable[[#This Row],[Manufacturing Price]],DataTable[[#This Row],[COGS]]/DataTable[[#This Row],[Units Sold]])</f>
        <v>120</v>
      </c>
    </row>
    <row r="641" spans="1:19" ht="12.75" x14ac:dyDescent="0.2">
      <c r="A641" s="20">
        <v>41821</v>
      </c>
      <c r="B641" t="s">
        <v>389</v>
      </c>
      <c r="C641" t="s">
        <v>394</v>
      </c>
      <c r="D641" t="s">
        <v>352</v>
      </c>
      <c r="E641" t="str">
        <f>VLOOKUP(DataTable[[#This Row],[Country]],Market!B:C,2,FALSE)</f>
        <v>North America</v>
      </c>
      <c r="F641" s="24">
        <v>3</v>
      </c>
      <c r="G641" s="24">
        <v>200250</v>
      </c>
      <c r="H641" s="24">
        <v>300</v>
      </c>
      <c r="I641" s="27">
        <v>801</v>
      </c>
      <c r="J641" s="24">
        <v>240300</v>
      </c>
      <c r="K641" s="24">
        <v>33642</v>
      </c>
      <c r="L641" s="1" t="s">
        <v>158</v>
      </c>
      <c r="M641" s="24">
        <v>206658</v>
      </c>
      <c r="N641" s="24">
        <f t="shared" si="9"/>
        <v>6408</v>
      </c>
      <c r="O641" t="str">
        <f>IF(DataTable[[#This Row],[Profit]]/DataTable[[#This Row],[COGS]]*100&gt;20,"Achived","Not Achived")</f>
        <v>Not Achived</v>
      </c>
      <c r="P641" s="25">
        <f>DataTable[[#This Row],[Profit]]/DataTable[[#This Row],[COGS]]</f>
        <v>3.2000000000000001E-2</v>
      </c>
      <c r="Q641">
        <f>DataTable[[#This Row],[Manufacturing Price]]*DataTable[[#This Row],[Units Sold]]</f>
        <v>2403</v>
      </c>
      <c r="R641" s="26">
        <f>DataTable[[#This Row],[COGS]]-DataTable[[#This Row],[MC_US]]</f>
        <v>197847</v>
      </c>
      <c r="S641" s="26">
        <f>IF(DataTable[[#This Row],[COGS-MC_US]]&gt;=0,DataTable[[#This Row],[Manufacturing Price]],DataTable[[#This Row],[COGS]]/DataTable[[#This Row],[Units Sold]])</f>
        <v>3</v>
      </c>
    </row>
    <row r="642" spans="1:19" ht="12.75" x14ac:dyDescent="0.2">
      <c r="A642" s="20">
        <v>41913</v>
      </c>
      <c r="B642" t="s">
        <v>391</v>
      </c>
      <c r="C642" t="s">
        <v>394</v>
      </c>
      <c r="D642" t="s">
        <v>352</v>
      </c>
      <c r="E642" t="str">
        <f>VLOOKUP(DataTable[[#This Row],[Country]],Market!B:C,2,FALSE)</f>
        <v>North America</v>
      </c>
      <c r="F642" s="24">
        <v>5</v>
      </c>
      <c r="G642" s="24">
        <v>136500</v>
      </c>
      <c r="H642" s="24">
        <v>300</v>
      </c>
      <c r="I642" s="27">
        <v>546</v>
      </c>
      <c r="J642" s="24">
        <v>163800</v>
      </c>
      <c r="K642" s="24">
        <v>24570</v>
      </c>
      <c r="L642" s="1" t="s">
        <v>158</v>
      </c>
      <c r="M642" s="24">
        <v>139230</v>
      </c>
      <c r="N642" s="24">
        <f t="shared" si="9"/>
        <v>2730</v>
      </c>
      <c r="O642" t="str">
        <f>IF(DataTable[[#This Row],[Profit]]/DataTable[[#This Row],[COGS]]*100&gt;20,"Achived","Not Achived")</f>
        <v>Not Achived</v>
      </c>
      <c r="P642" s="25">
        <f>DataTable[[#This Row],[Profit]]/DataTable[[#This Row],[COGS]]</f>
        <v>0.02</v>
      </c>
      <c r="Q642">
        <f>DataTable[[#This Row],[Manufacturing Price]]*DataTable[[#This Row],[Units Sold]]</f>
        <v>2730</v>
      </c>
      <c r="R642" s="26">
        <f>DataTable[[#This Row],[COGS]]-DataTable[[#This Row],[MC_US]]</f>
        <v>133770</v>
      </c>
      <c r="S642" s="26">
        <f>IF(DataTable[[#This Row],[COGS-MC_US]]&gt;=0,DataTable[[#This Row],[Manufacturing Price]],DataTable[[#This Row],[COGS]]/DataTable[[#This Row],[Units Sold]])</f>
        <v>5</v>
      </c>
    </row>
    <row r="643" spans="1:19" ht="12.75" x14ac:dyDescent="0.2">
      <c r="A643" s="20">
        <v>41913</v>
      </c>
      <c r="B643" t="s">
        <v>398</v>
      </c>
      <c r="C643" t="s">
        <v>394</v>
      </c>
      <c r="D643" t="s">
        <v>352</v>
      </c>
      <c r="E643" t="str">
        <f>VLOOKUP(DataTable[[#This Row],[Country]],Market!B:C,2,FALSE)</f>
        <v>North America</v>
      </c>
      <c r="F643" s="24">
        <v>260</v>
      </c>
      <c r="G643" s="24">
        <v>136500</v>
      </c>
      <c r="H643" s="24">
        <v>300</v>
      </c>
      <c r="I643" s="27">
        <v>546</v>
      </c>
      <c r="J643" s="24">
        <v>163800</v>
      </c>
      <c r="K643" s="24">
        <v>24570</v>
      </c>
      <c r="L643" s="1" t="s">
        <v>158</v>
      </c>
      <c r="M643" s="24">
        <v>139230</v>
      </c>
      <c r="N643" s="24">
        <f t="shared" si="9"/>
        <v>2730</v>
      </c>
      <c r="O643" t="str">
        <f>IF(DataTable[[#This Row],[Profit]]/DataTable[[#This Row],[COGS]]*100&gt;20,"Achived","Not Achived")</f>
        <v>Not Achived</v>
      </c>
      <c r="P643" s="25">
        <f>DataTable[[#This Row],[Profit]]/DataTable[[#This Row],[COGS]]</f>
        <v>0.02</v>
      </c>
      <c r="Q643">
        <f>DataTable[[#This Row],[Manufacturing Price]]*DataTable[[#This Row],[Units Sold]]</f>
        <v>141960</v>
      </c>
      <c r="R643" s="26">
        <f>DataTable[[#This Row],[COGS]]-DataTable[[#This Row],[MC_US]]</f>
        <v>-5460</v>
      </c>
      <c r="S643" s="26">
        <f>IF(DataTable[[#This Row],[COGS-MC_US]]&gt;=0,DataTable[[#This Row],[Manufacturing Price]],DataTable[[#This Row],[COGS]]/DataTable[[#This Row],[Units Sold]])</f>
        <v>250</v>
      </c>
    </row>
    <row r="644" spans="1:19" ht="12.75" hidden="1" x14ac:dyDescent="0.2">
      <c r="A644" s="20">
        <v>41883</v>
      </c>
      <c r="B644" t="s">
        <v>397</v>
      </c>
      <c r="C644" t="s">
        <v>394</v>
      </c>
      <c r="D644" t="s">
        <v>305</v>
      </c>
      <c r="E644" t="str">
        <f>VLOOKUP(DataTable[[#This Row],[Country]],Market!B:C,2,FALSE)</f>
        <v>Europe</v>
      </c>
      <c r="F644" s="24">
        <v>250</v>
      </c>
      <c r="G644" s="24">
        <v>246500</v>
      </c>
      <c r="H644" s="24">
        <v>300</v>
      </c>
      <c r="I644" s="27">
        <v>986</v>
      </c>
      <c r="J644" s="24">
        <v>295800</v>
      </c>
      <c r="K644" s="24">
        <v>2958</v>
      </c>
      <c r="L644" s="1" t="s">
        <v>57</v>
      </c>
      <c r="M644" s="24">
        <v>292842</v>
      </c>
      <c r="N644" s="24">
        <f t="shared" ref="N644:N703" si="10">M644-G644</f>
        <v>46342</v>
      </c>
      <c r="O644" t="str">
        <f>IF(DataTable[[#This Row],[Profit]]/DataTable[[#This Row],[COGS]]*100&gt;20,"Achived","Not Achived")</f>
        <v>Not Achived</v>
      </c>
      <c r="P644" s="25">
        <f>DataTable[[#This Row],[Profit]]/DataTable[[#This Row],[COGS]]</f>
        <v>0.188</v>
      </c>
      <c r="Q644">
        <f>DataTable[[#This Row],[Manufacturing Price]]*DataTable[[#This Row],[Units Sold]]</f>
        <v>246500</v>
      </c>
      <c r="R644" s="26">
        <f>DataTable[[#This Row],[COGS]]-DataTable[[#This Row],[MC_US]]</f>
        <v>0</v>
      </c>
      <c r="S644" s="26">
        <f>IF(DataTable[[#This Row],[COGS-MC_US]]&gt;=0,DataTable[[#This Row],[Manufacturing Price]],DataTable[[#This Row],[COGS]]/DataTable[[#This Row],[Units Sold]])</f>
        <v>250</v>
      </c>
    </row>
    <row r="645" spans="1:19" ht="12.75" hidden="1" x14ac:dyDescent="0.2">
      <c r="A645" s="20">
        <v>41548</v>
      </c>
      <c r="B645" t="s">
        <v>389</v>
      </c>
      <c r="C645" t="s">
        <v>394</v>
      </c>
      <c r="D645" t="s">
        <v>305</v>
      </c>
      <c r="E645" t="str">
        <f>VLOOKUP(DataTable[[#This Row],[Country]],Market!B:C,2,FALSE)</f>
        <v>Europe</v>
      </c>
      <c r="F645" s="24">
        <v>3</v>
      </c>
      <c r="G645" s="24">
        <v>53500</v>
      </c>
      <c r="H645" s="24">
        <v>300</v>
      </c>
      <c r="I645" s="27">
        <v>214</v>
      </c>
      <c r="J645" s="24">
        <v>64200</v>
      </c>
      <c r="K645" s="24">
        <v>1284</v>
      </c>
      <c r="L645" s="1" t="s">
        <v>57</v>
      </c>
      <c r="M645" s="24">
        <v>62916</v>
      </c>
      <c r="N645" s="24">
        <f t="shared" si="10"/>
        <v>9416</v>
      </c>
      <c r="O645" t="str">
        <f>IF(DataTable[[#This Row],[Profit]]/DataTable[[#This Row],[COGS]]*100&gt;20,"Achived","Not Achived")</f>
        <v>Not Achived</v>
      </c>
      <c r="P645" s="25">
        <f>DataTable[[#This Row],[Profit]]/DataTable[[#This Row],[COGS]]</f>
        <v>0.17599999999999999</v>
      </c>
      <c r="Q645">
        <f>DataTable[[#This Row],[Manufacturing Price]]*DataTable[[#This Row],[Units Sold]]</f>
        <v>642</v>
      </c>
      <c r="R645" s="26">
        <f>DataTable[[#This Row],[COGS]]-DataTable[[#This Row],[MC_US]]</f>
        <v>52858</v>
      </c>
      <c r="S645" s="26">
        <f>IF(DataTable[[#This Row],[COGS-MC_US]]&gt;=0,DataTable[[#This Row],[Manufacturing Price]],DataTable[[#This Row],[COGS]]/DataTable[[#This Row],[Units Sold]])</f>
        <v>3</v>
      </c>
    </row>
    <row r="646" spans="1:19" ht="12.75" hidden="1" x14ac:dyDescent="0.2">
      <c r="A646" s="20">
        <v>41760</v>
      </c>
      <c r="B646" t="s">
        <v>395</v>
      </c>
      <c r="C646" t="s">
        <v>394</v>
      </c>
      <c r="D646" t="s">
        <v>305</v>
      </c>
      <c r="E646" t="str">
        <f>VLOOKUP(DataTable[[#This Row],[Country]],Market!B:C,2,FALSE)</f>
        <v>Europe</v>
      </c>
      <c r="F646" s="24">
        <v>10</v>
      </c>
      <c r="G646" s="24">
        <v>432000</v>
      </c>
      <c r="H646" s="24">
        <v>300</v>
      </c>
      <c r="I646" s="27">
        <v>1728</v>
      </c>
      <c r="J646" s="24">
        <v>518400</v>
      </c>
      <c r="K646" s="24">
        <v>10368</v>
      </c>
      <c r="L646" s="1" t="s">
        <v>57</v>
      </c>
      <c r="M646" s="24">
        <v>508032</v>
      </c>
      <c r="N646" s="24">
        <f t="shared" si="10"/>
        <v>76032</v>
      </c>
      <c r="O646" t="str">
        <f>IF(DataTable[[#This Row],[Profit]]/DataTable[[#This Row],[COGS]]*100&gt;20,"Achived","Not Achived")</f>
        <v>Not Achived</v>
      </c>
      <c r="P646" s="25">
        <f>DataTable[[#This Row],[Profit]]/DataTable[[#This Row],[COGS]]</f>
        <v>0.17599999999999999</v>
      </c>
      <c r="Q646">
        <f>DataTable[[#This Row],[Manufacturing Price]]*DataTable[[#This Row],[Units Sold]]</f>
        <v>17280</v>
      </c>
      <c r="R646" s="26">
        <f>DataTable[[#This Row],[COGS]]-DataTable[[#This Row],[MC_US]]</f>
        <v>414720</v>
      </c>
      <c r="S646" s="26">
        <f>IF(DataTable[[#This Row],[COGS-MC_US]]&gt;=0,DataTable[[#This Row],[Manufacturing Price]],DataTable[[#This Row],[COGS]]/DataTable[[#This Row],[Units Sold]])</f>
        <v>10</v>
      </c>
    </row>
    <row r="647" spans="1:19" ht="12.75" hidden="1" x14ac:dyDescent="0.2">
      <c r="A647" s="20">
        <v>41548</v>
      </c>
      <c r="B647" t="s">
        <v>397</v>
      </c>
      <c r="C647" t="s">
        <v>394</v>
      </c>
      <c r="D647" t="s">
        <v>305</v>
      </c>
      <c r="E647" t="str">
        <f>VLOOKUP(DataTable[[#This Row],[Country]],Market!B:C,2,FALSE)</f>
        <v>Europe</v>
      </c>
      <c r="F647" s="24">
        <v>250</v>
      </c>
      <c r="G647" s="24">
        <v>53500</v>
      </c>
      <c r="H647" s="24">
        <v>300</v>
      </c>
      <c r="I647" s="27">
        <v>214</v>
      </c>
      <c r="J647" s="24">
        <v>64200</v>
      </c>
      <c r="K647" s="24">
        <v>1284</v>
      </c>
      <c r="L647" s="1" t="s">
        <v>57</v>
      </c>
      <c r="M647" s="24">
        <v>62916</v>
      </c>
      <c r="N647" s="24">
        <f t="shared" si="10"/>
        <v>9416</v>
      </c>
      <c r="O647" t="str">
        <f>IF(DataTable[[#This Row],[Profit]]/DataTable[[#This Row],[COGS]]*100&gt;20,"Achived","Not Achived")</f>
        <v>Not Achived</v>
      </c>
      <c r="P647" s="25">
        <f>DataTable[[#This Row],[Profit]]/DataTable[[#This Row],[COGS]]</f>
        <v>0.17599999999999999</v>
      </c>
      <c r="Q647">
        <f>DataTable[[#This Row],[Manufacturing Price]]*DataTable[[#This Row],[Units Sold]]</f>
        <v>53500</v>
      </c>
      <c r="R647" s="26">
        <f>DataTable[[#This Row],[COGS]]-DataTable[[#This Row],[MC_US]]</f>
        <v>0</v>
      </c>
      <c r="S647" s="26">
        <f>IF(DataTable[[#This Row],[COGS-MC_US]]&gt;=0,DataTable[[#This Row],[Manufacturing Price]],DataTable[[#This Row],[COGS]]/DataTable[[#This Row],[Units Sold]])</f>
        <v>250</v>
      </c>
    </row>
    <row r="648" spans="1:19" ht="12.75" hidden="1" x14ac:dyDescent="0.2">
      <c r="A648" s="20">
        <v>41699</v>
      </c>
      <c r="B648" t="s">
        <v>398</v>
      </c>
      <c r="C648" t="s">
        <v>394</v>
      </c>
      <c r="D648" t="s">
        <v>305</v>
      </c>
      <c r="E648" t="str">
        <f>VLOOKUP(DataTable[[#This Row],[Country]],Market!B:C,2,FALSE)</f>
        <v>Europe</v>
      </c>
      <c r="F648" s="24">
        <v>260</v>
      </c>
      <c r="G648" s="24">
        <v>64750</v>
      </c>
      <c r="H648" s="24">
        <v>300</v>
      </c>
      <c r="I648" s="27">
        <v>259</v>
      </c>
      <c r="J648" s="24">
        <v>77700</v>
      </c>
      <c r="K648" s="24">
        <v>1554</v>
      </c>
      <c r="L648" s="1" t="s">
        <v>57</v>
      </c>
      <c r="M648" s="24">
        <v>76146</v>
      </c>
      <c r="N648" s="24">
        <f t="shared" si="10"/>
        <v>11396</v>
      </c>
      <c r="O648" t="str">
        <f>IF(DataTable[[#This Row],[Profit]]/DataTable[[#This Row],[COGS]]*100&gt;20,"Achived","Not Achived")</f>
        <v>Not Achived</v>
      </c>
      <c r="P648" s="25">
        <f>DataTable[[#This Row],[Profit]]/DataTable[[#This Row],[COGS]]</f>
        <v>0.17599999999999999</v>
      </c>
      <c r="Q648">
        <f>DataTable[[#This Row],[Manufacturing Price]]*DataTable[[#This Row],[Units Sold]]</f>
        <v>67340</v>
      </c>
      <c r="R648" s="26">
        <f>DataTable[[#This Row],[COGS]]-DataTable[[#This Row],[MC_US]]</f>
        <v>-2590</v>
      </c>
      <c r="S648" s="26">
        <f>IF(DataTable[[#This Row],[COGS-MC_US]]&gt;=0,DataTable[[#This Row],[Manufacturing Price]],DataTable[[#This Row],[COGS]]/DataTable[[#This Row],[Units Sold]])</f>
        <v>250</v>
      </c>
    </row>
    <row r="649" spans="1:19" ht="12.75" hidden="1" x14ac:dyDescent="0.2">
      <c r="A649" s="20">
        <v>41791</v>
      </c>
      <c r="B649" t="s">
        <v>389</v>
      </c>
      <c r="C649" t="s">
        <v>394</v>
      </c>
      <c r="D649" t="s">
        <v>305</v>
      </c>
      <c r="E649" t="str">
        <f>VLOOKUP(DataTable[[#This Row],[Country]],Market!B:C,2,FALSE)</f>
        <v>Europe</v>
      </c>
      <c r="F649" s="24">
        <v>3</v>
      </c>
      <c r="G649" s="24">
        <v>172250</v>
      </c>
      <c r="H649" s="24">
        <v>300</v>
      </c>
      <c r="I649" s="27">
        <v>689</v>
      </c>
      <c r="J649" s="24">
        <v>206700</v>
      </c>
      <c r="K649" s="24">
        <v>6201</v>
      </c>
      <c r="L649" s="1" t="s">
        <v>57</v>
      </c>
      <c r="M649" s="24">
        <v>200499</v>
      </c>
      <c r="N649" s="24">
        <f t="shared" si="10"/>
        <v>28249</v>
      </c>
      <c r="O649" t="str">
        <f>IF(DataTable[[#This Row],[Profit]]/DataTable[[#This Row],[COGS]]*100&gt;20,"Achived","Not Achived")</f>
        <v>Not Achived</v>
      </c>
      <c r="P649" s="25">
        <f>DataTable[[#This Row],[Profit]]/DataTable[[#This Row],[COGS]]</f>
        <v>0.16400000000000001</v>
      </c>
      <c r="Q649">
        <f>DataTable[[#This Row],[Manufacturing Price]]*DataTable[[#This Row],[Units Sold]]</f>
        <v>2067</v>
      </c>
      <c r="R649" s="26">
        <f>DataTable[[#This Row],[COGS]]-DataTable[[#This Row],[MC_US]]</f>
        <v>170183</v>
      </c>
      <c r="S649" s="26">
        <f>IF(DataTable[[#This Row],[COGS-MC_US]]&gt;=0,DataTable[[#This Row],[Manufacturing Price]],DataTable[[#This Row],[COGS]]/DataTable[[#This Row],[Units Sold]])</f>
        <v>3</v>
      </c>
    </row>
    <row r="650" spans="1:19" ht="12.75" hidden="1" x14ac:dyDescent="0.2">
      <c r="A650" s="20">
        <v>41791</v>
      </c>
      <c r="B650" t="s">
        <v>395</v>
      </c>
      <c r="C650" t="s">
        <v>394</v>
      </c>
      <c r="D650" t="s">
        <v>305</v>
      </c>
      <c r="E650" t="str">
        <f>VLOOKUP(DataTable[[#This Row],[Country]],Market!B:C,2,FALSE)</f>
        <v>Europe</v>
      </c>
      <c r="F650" s="24">
        <v>10</v>
      </c>
      <c r="G650" s="24">
        <v>172250</v>
      </c>
      <c r="H650" s="24">
        <v>300</v>
      </c>
      <c r="I650" s="27">
        <v>689</v>
      </c>
      <c r="J650" s="24">
        <v>206700</v>
      </c>
      <c r="K650" s="24">
        <v>6201</v>
      </c>
      <c r="L650" s="1" t="s">
        <v>57</v>
      </c>
      <c r="M650" s="24">
        <v>200499</v>
      </c>
      <c r="N650" s="24">
        <f t="shared" si="10"/>
        <v>28249</v>
      </c>
      <c r="O650" t="str">
        <f>IF(DataTable[[#This Row],[Profit]]/DataTable[[#This Row],[COGS]]*100&gt;20,"Achived","Not Achived")</f>
        <v>Not Achived</v>
      </c>
      <c r="P650" s="25">
        <f>DataTable[[#This Row],[Profit]]/DataTable[[#This Row],[COGS]]</f>
        <v>0.16400000000000001</v>
      </c>
      <c r="Q650">
        <f>DataTable[[#This Row],[Manufacturing Price]]*DataTable[[#This Row],[Units Sold]]</f>
        <v>6890</v>
      </c>
      <c r="R650" s="26">
        <f>DataTable[[#This Row],[COGS]]-DataTable[[#This Row],[MC_US]]</f>
        <v>165360</v>
      </c>
      <c r="S650" s="26">
        <f>IF(DataTable[[#This Row],[COGS-MC_US]]&gt;=0,DataTable[[#This Row],[Manufacturing Price]],DataTable[[#This Row],[COGS]]/DataTable[[#This Row],[Units Sold]])</f>
        <v>10</v>
      </c>
    </row>
    <row r="651" spans="1:19" ht="12.75" hidden="1" x14ac:dyDescent="0.2">
      <c r="A651" s="20">
        <v>41913</v>
      </c>
      <c r="B651" t="s">
        <v>389</v>
      </c>
      <c r="C651" t="s">
        <v>394</v>
      </c>
      <c r="D651" t="s">
        <v>305</v>
      </c>
      <c r="E651" t="str">
        <f>VLOOKUP(DataTable[[#This Row],[Country]],Market!B:C,2,FALSE)</f>
        <v>Europe</v>
      </c>
      <c r="F651" s="24">
        <v>3</v>
      </c>
      <c r="G651" s="24">
        <v>505250</v>
      </c>
      <c r="H651" s="24">
        <v>300</v>
      </c>
      <c r="I651" s="27">
        <v>2021</v>
      </c>
      <c r="J651" s="24">
        <v>606300</v>
      </c>
      <c r="K651" s="24">
        <v>24252</v>
      </c>
      <c r="L651" s="1" t="s">
        <v>57</v>
      </c>
      <c r="M651" s="24">
        <v>582048</v>
      </c>
      <c r="N651" s="24">
        <f t="shared" si="10"/>
        <v>76798</v>
      </c>
      <c r="O651" t="str">
        <f>IF(DataTable[[#This Row],[Profit]]/DataTable[[#This Row],[COGS]]*100&gt;20,"Achived","Not Achived")</f>
        <v>Not Achived</v>
      </c>
      <c r="P651" s="25">
        <f>DataTable[[#This Row],[Profit]]/DataTable[[#This Row],[COGS]]</f>
        <v>0.152</v>
      </c>
      <c r="Q651">
        <f>DataTable[[#This Row],[Manufacturing Price]]*DataTable[[#This Row],[Units Sold]]</f>
        <v>6063</v>
      </c>
      <c r="R651" s="26">
        <f>DataTable[[#This Row],[COGS]]-DataTable[[#This Row],[MC_US]]</f>
        <v>499187</v>
      </c>
      <c r="S651" s="26">
        <f>IF(DataTable[[#This Row],[COGS-MC_US]]&gt;=0,DataTable[[#This Row],[Manufacturing Price]],DataTable[[#This Row],[COGS]]/DataTable[[#This Row],[Units Sold]])</f>
        <v>3</v>
      </c>
    </row>
    <row r="652" spans="1:19" ht="12.75" hidden="1" x14ac:dyDescent="0.2">
      <c r="A652" s="20">
        <v>41852</v>
      </c>
      <c r="B652" t="s">
        <v>391</v>
      </c>
      <c r="C652" t="s">
        <v>394</v>
      </c>
      <c r="D652" t="s">
        <v>305</v>
      </c>
      <c r="E652" t="str">
        <f>VLOOKUP(DataTable[[#This Row],[Country]],Market!B:C,2,FALSE)</f>
        <v>Europe</v>
      </c>
      <c r="F652" s="24">
        <v>5</v>
      </c>
      <c r="G652" s="24">
        <v>464750</v>
      </c>
      <c r="H652" s="24">
        <v>300</v>
      </c>
      <c r="I652" s="27">
        <v>1859</v>
      </c>
      <c r="J652" s="24">
        <v>557700</v>
      </c>
      <c r="K652" s="24">
        <v>22308</v>
      </c>
      <c r="L652" s="1" t="s">
        <v>57</v>
      </c>
      <c r="M652" s="24">
        <v>535392</v>
      </c>
      <c r="N652" s="24">
        <f t="shared" si="10"/>
        <v>70642</v>
      </c>
      <c r="O652" t="str">
        <f>IF(DataTable[[#This Row],[Profit]]/DataTable[[#This Row],[COGS]]*100&gt;20,"Achived","Not Achived")</f>
        <v>Not Achived</v>
      </c>
      <c r="P652" s="25">
        <f>DataTable[[#This Row],[Profit]]/DataTable[[#This Row],[COGS]]</f>
        <v>0.152</v>
      </c>
      <c r="Q652">
        <f>DataTable[[#This Row],[Manufacturing Price]]*DataTable[[#This Row],[Units Sold]]</f>
        <v>9295</v>
      </c>
      <c r="R652" s="26">
        <f>DataTable[[#This Row],[COGS]]-DataTable[[#This Row],[MC_US]]</f>
        <v>455455</v>
      </c>
      <c r="S652" s="26">
        <f>IF(DataTable[[#This Row],[COGS-MC_US]]&gt;=0,DataTable[[#This Row],[Manufacturing Price]],DataTable[[#This Row],[COGS]]/DataTable[[#This Row],[Units Sold]])</f>
        <v>5</v>
      </c>
    </row>
    <row r="653" spans="1:19" ht="12.75" hidden="1" x14ac:dyDescent="0.2">
      <c r="A653" s="20">
        <v>41913</v>
      </c>
      <c r="B653" t="s">
        <v>391</v>
      </c>
      <c r="C653" t="s">
        <v>394</v>
      </c>
      <c r="D653" t="s">
        <v>305</v>
      </c>
      <c r="E653" t="str">
        <f>VLOOKUP(DataTable[[#This Row],[Country]],Market!B:C,2,FALSE)</f>
        <v>Europe</v>
      </c>
      <c r="F653" s="24">
        <v>5</v>
      </c>
      <c r="G653" s="24">
        <v>505250</v>
      </c>
      <c r="H653" s="24">
        <v>300</v>
      </c>
      <c r="I653" s="27">
        <v>2021</v>
      </c>
      <c r="J653" s="24">
        <v>606300</v>
      </c>
      <c r="K653" s="24">
        <v>24252</v>
      </c>
      <c r="L653" s="1" t="s">
        <v>57</v>
      </c>
      <c r="M653" s="24">
        <v>582048</v>
      </c>
      <c r="N653" s="24">
        <f t="shared" si="10"/>
        <v>76798</v>
      </c>
      <c r="O653" t="str">
        <f>IF(DataTable[[#This Row],[Profit]]/DataTable[[#This Row],[COGS]]*100&gt;20,"Achived","Not Achived")</f>
        <v>Not Achived</v>
      </c>
      <c r="P653" s="25">
        <f>DataTable[[#This Row],[Profit]]/DataTable[[#This Row],[COGS]]</f>
        <v>0.152</v>
      </c>
      <c r="Q653">
        <f>DataTable[[#This Row],[Manufacturing Price]]*DataTable[[#This Row],[Units Sold]]</f>
        <v>10105</v>
      </c>
      <c r="R653" s="26">
        <f>DataTable[[#This Row],[COGS]]-DataTable[[#This Row],[MC_US]]</f>
        <v>495145</v>
      </c>
      <c r="S653" s="26">
        <f>IF(DataTable[[#This Row],[COGS-MC_US]]&gt;=0,DataTable[[#This Row],[Manufacturing Price]],DataTable[[#This Row],[COGS]]/DataTable[[#This Row],[Units Sold]])</f>
        <v>5</v>
      </c>
    </row>
    <row r="654" spans="1:19" ht="12.75" hidden="1" x14ac:dyDescent="0.2">
      <c r="A654" s="20">
        <v>41730</v>
      </c>
      <c r="B654" t="s">
        <v>395</v>
      </c>
      <c r="C654" t="s">
        <v>394</v>
      </c>
      <c r="D654" t="s">
        <v>305</v>
      </c>
      <c r="E654" t="str">
        <f>VLOOKUP(DataTable[[#This Row],[Country]],Market!B:C,2,FALSE)</f>
        <v>Europe</v>
      </c>
      <c r="F654" s="24">
        <v>10</v>
      </c>
      <c r="G654" s="24">
        <v>353625</v>
      </c>
      <c r="H654" s="24">
        <v>300</v>
      </c>
      <c r="I654" s="27">
        <v>1414.5</v>
      </c>
      <c r="J654" s="24">
        <v>424350</v>
      </c>
      <c r="K654" s="24">
        <v>16974</v>
      </c>
      <c r="L654" s="1" t="s">
        <v>57</v>
      </c>
      <c r="M654" s="24">
        <v>407376</v>
      </c>
      <c r="N654" s="24">
        <f t="shared" si="10"/>
        <v>53751</v>
      </c>
      <c r="O654" t="str">
        <f>IF(DataTable[[#This Row],[Profit]]/DataTable[[#This Row],[COGS]]*100&gt;20,"Achived","Not Achived")</f>
        <v>Not Achived</v>
      </c>
      <c r="P654" s="25">
        <f>DataTable[[#This Row],[Profit]]/DataTable[[#This Row],[COGS]]</f>
        <v>0.152</v>
      </c>
      <c r="Q654">
        <f>DataTable[[#This Row],[Manufacturing Price]]*DataTable[[#This Row],[Units Sold]]</f>
        <v>14145</v>
      </c>
      <c r="R654" s="26">
        <f>DataTable[[#This Row],[COGS]]-DataTable[[#This Row],[MC_US]]</f>
        <v>339480</v>
      </c>
      <c r="S654" s="26">
        <f>IF(DataTable[[#This Row],[COGS-MC_US]]&gt;=0,DataTable[[#This Row],[Manufacturing Price]],DataTable[[#This Row],[COGS]]/DataTable[[#This Row],[Units Sold]])</f>
        <v>10</v>
      </c>
    </row>
    <row r="655" spans="1:19" ht="12.75" hidden="1" x14ac:dyDescent="0.2">
      <c r="A655" s="20">
        <v>41974</v>
      </c>
      <c r="B655" t="s">
        <v>396</v>
      </c>
      <c r="C655" t="s">
        <v>394</v>
      </c>
      <c r="D655" t="s">
        <v>305</v>
      </c>
      <c r="E655" t="str">
        <f>VLOOKUP(DataTable[[#This Row],[Country]],Market!B:C,2,FALSE)</f>
        <v>Europe</v>
      </c>
      <c r="F655" s="24">
        <v>120</v>
      </c>
      <c r="G655" s="24">
        <v>312500</v>
      </c>
      <c r="H655" s="24">
        <v>300</v>
      </c>
      <c r="I655" s="27">
        <v>1250</v>
      </c>
      <c r="J655" s="24">
        <v>375000</v>
      </c>
      <c r="K655" s="24">
        <v>18750</v>
      </c>
      <c r="L655" s="1" t="s">
        <v>124</v>
      </c>
      <c r="M655" s="24">
        <v>356250</v>
      </c>
      <c r="N655" s="24">
        <f t="shared" si="10"/>
        <v>43750</v>
      </c>
      <c r="O655" t="str">
        <f>IF(DataTable[[#This Row],[Profit]]/DataTable[[#This Row],[COGS]]*100&gt;20,"Achived","Not Achived")</f>
        <v>Not Achived</v>
      </c>
      <c r="P655" s="25">
        <f>DataTable[[#This Row],[Profit]]/DataTable[[#This Row],[COGS]]</f>
        <v>0.14000000000000001</v>
      </c>
      <c r="Q655">
        <f>DataTable[[#This Row],[Manufacturing Price]]*DataTable[[#This Row],[Units Sold]]</f>
        <v>150000</v>
      </c>
      <c r="R655" s="26">
        <f>DataTable[[#This Row],[COGS]]-DataTable[[#This Row],[MC_US]]</f>
        <v>162500</v>
      </c>
      <c r="S655" s="26">
        <f>IF(DataTable[[#This Row],[COGS-MC_US]]&gt;=0,DataTable[[#This Row],[Manufacturing Price]],DataTable[[#This Row],[COGS]]/DataTable[[#This Row],[Units Sold]])</f>
        <v>120</v>
      </c>
    </row>
    <row r="656" spans="1:19" ht="12.75" hidden="1" x14ac:dyDescent="0.2">
      <c r="A656" s="20">
        <v>41974</v>
      </c>
      <c r="B656" t="s">
        <v>398</v>
      </c>
      <c r="C656" t="s">
        <v>394</v>
      </c>
      <c r="D656" t="s">
        <v>305</v>
      </c>
      <c r="E656" t="str">
        <f>VLOOKUP(DataTable[[#This Row],[Country]],Market!B:C,2,FALSE)</f>
        <v>Europe</v>
      </c>
      <c r="F656" s="24">
        <v>260</v>
      </c>
      <c r="G656" s="24">
        <v>312500</v>
      </c>
      <c r="H656" s="24">
        <v>300</v>
      </c>
      <c r="I656" s="27">
        <v>1250</v>
      </c>
      <c r="J656" s="24">
        <v>375000</v>
      </c>
      <c r="K656" s="24">
        <v>18750</v>
      </c>
      <c r="L656" s="1" t="s">
        <v>124</v>
      </c>
      <c r="M656" s="24">
        <v>356250</v>
      </c>
      <c r="N656" s="24">
        <f t="shared" si="10"/>
        <v>43750</v>
      </c>
      <c r="O656" t="str">
        <f>IF(DataTable[[#This Row],[Profit]]/DataTable[[#This Row],[COGS]]*100&gt;20,"Achived","Not Achived")</f>
        <v>Not Achived</v>
      </c>
      <c r="P656" s="25">
        <f>DataTable[[#This Row],[Profit]]/DataTable[[#This Row],[COGS]]</f>
        <v>0.14000000000000001</v>
      </c>
      <c r="Q656">
        <f>DataTable[[#This Row],[Manufacturing Price]]*DataTable[[#This Row],[Units Sold]]</f>
        <v>325000</v>
      </c>
      <c r="R656" s="26">
        <f>DataTable[[#This Row],[COGS]]-DataTable[[#This Row],[MC_US]]</f>
        <v>-12500</v>
      </c>
      <c r="S656" s="26">
        <f>IF(DataTable[[#This Row],[COGS-MC_US]]&gt;=0,DataTable[[#This Row],[Manufacturing Price]],DataTable[[#This Row],[COGS]]/DataTable[[#This Row],[Units Sold]])</f>
        <v>250</v>
      </c>
    </row>
    <row r="657" spans="1:19" ht="12.75" hidden="1" x14ac:dyDescent="0.2">
      <c r="A657" s="20">
        <v>41518</v>
      </c>
      <c r="B657" t="s">
        <v>395</v>
      </c>
      <c r="C657" t="s">
        <v>394</v>
      </c>
      <c r="D657" t="s">
        <v>305</v>
      </c>
      <c r="E657" t="str">
        <f>VLOOKUP(DataTable[[#This Row],[Country]],Market!B:C,2,FALSE)</f>
        <v>Europe</v>
      </c>
      <c r="F657" s="24">
        <v>10</v>
      </c>
      <c r="G657" s="24">
        <v>280750</v>
      </c>
      <c r="H657" s="24">
        <v>300</v>
      </c>
      <c r="I657" s="27">
        <v>1123</v>
      </c>
      <c r="J657" s="24">
        <v>336900</v>
      </c>
      <c r="K657" s="24">
        <v>23583</v>
      </c>
      <c r="L657" s="1" t="s">
        <v>124</v>
      </c>
      <c r="M657" s="24">
        <v>313317</v>
      </c>
      <c r="N657" s="24">
        <f t="shared" si="10"/>
        <v>32567</v>
      </c>
      <c r="O657" t="str">
        <f>IF(DataTable[[#This Row],[Profit]]/DataTable[[#This Row],[COGS]]*100&gt;20,"Achived","Not Achived")</f>
        <v>Not Achived</v>
      </c>
      <c r="P657" s="25">
        <f>DataTable[[#This Row],[Profit]]/DataTable[[#This Row],[COGS]]</f>
        <v>0.11600000000000001</v>
      </c>
      <c r="Q657">
        <f>DataTable[[#This Row],[Manufacturing Price]]*DataTable[[#This Row],[Units Sold]]</f>
        <v>11230</v>
      </c>
      <c r="R657" s="26">
        <f>DataTable[[#This Row],[COGS]]-DataTable[[#This Row],[MC_US]]</f>
        <v>269520</v>
      </c>
      <c r="S657" s="26">
        <f>IF(DataTable[[#This Row],[COGS-MC_US]]&gt;=0,DataTable[[#This Row],[Manufacturing Price]],DataTable[[#This Row],[COGS]]/DataTable[[#This Row],[Units Sold]])</f>
        <v>10</v>
      </c>
    </row>
    <row r="658" spans="1:19" ht="12.75" hidden="1" x14ac:dyDescent="0.2">
      <c r="A658" s="20">
        <v>41609</v>
      </c>
      <c r="B658" t="s">
        <v>391</v>
      </c>
      <c r="C658" t="s">
        <v>394</v>
      </c>
      <c r="D658" t="s">
        <v>305</v>
      </c>
      <c r="E658" t="str">
        <f>VLOOKUP(DataTable[[#This Row],[Country]],Market!B:C,2,FALSE)</f>
        <v>Europe</v>
      </c>
      <c r="F658" s="24">
        <v>5</v>
      </c>
      <c r="G658" s="24">
        <v>83500</v>
      </c>
      <c r="H658" s="24">
        <v>300</v>
      </c>
      <c r="I658" s="27">
        <v>334</v>
      </c>
      <c r="J658" s="24">
        <v>100200</v>
      </c>
      <c r="K658" s="24">
        <v>9018</v>
      </c>
      <c r="L658" s="1" t="s">
        <v>124</v>
      </c>
      <c r="M658" s="24">
        <v>91182</v>
      </c>
      <c r="N658" s="24">
        <f t="shared" si="10"/>
        <v>7682</v>
      </c>
      <c r="O658" t="str">
        <f>IF(DataTable[[#This Row],[Profit]]/DataTable[[#This Row],[COGS]]*100&gt;20,"Achived","Not Achived")</f>
        <v>Not Achived</v>
      </c>
      <c r="P658" s="25">
        <f>DataTable[[#This Row],[Profit]]/DataTable[[#This Row],[COGS]]</f>
        <v>9.1999999999999998E-2</v>
      </c>
      <c r="Q658">
        <f>DataTable[[#This Row],[Manufacturing Price]]*DataTable[[#This Row],[Units Sold]]</f>
        <v>1670</v>
      </c>
      <c r="R658" s="26">
        <f>DataTable[[#This Row],[COGS]]-DataTable[[#This Row],[MC_US]]</f>
        <v>81830</v>
      </c>
      <c r="S658" s="26">
        <f>IF(DataTable[[#This Row],[COGS-MC_US]]&gt;=0,DataTable[[#This Row],[Manufacturing Price]],DataTable[[#This Row],[COGS]]/DataTable[[#This Row],[Units Sold]])</f>
        <v>5</v>
      </c>
    </row>
    <row r="659" spans="1:19" ht="12.75" hidden="1" x14ac:dyDescent="0.2">
      <c r="A659" s="20">
        <v>41671</v>
      </c>
      <c r="B659" t="s">
        <v>397</v>
      </c>
      <c r="C659" t="s">
        <v>394</v>
      </c>
      <c r="D659" t="s">
        <v>305</v>
      </c>
      <c r="E659" t="str">
        <f>VLOOKUP(DataTable[[#This Row],[Country]],Market!B:C,2,FALSE)</f>
        <v>Europe</v>
      </c>
      <c r="F659" s="24">
        <v>250</v>
      </c>
      <c r="G659" s="24">
        <v>664750</v>
      </c>
      <c r="H659" s="24">
        <v>300</v>
      </c>
      <c r="I659" s="27">
        <v>2659</v>
      </c>
      <c r="J659" s="24">
        <v>797700</v>
      </c>
      <c r="K659" s="24">
        <v>71793</v>
      </c>
      <c r="L659" s="1" t="s">
        <v>124</v>
      </c>
      <c r="M659" s="24">
        <v>725907</v>
      </c>
      <c r="N659" s="24">
        <f t="shared" si="10"/>
        <v>61157</v>
      </c>
      <c r="O659" t="str">
        <f>IF(DataTable[[#This Row],[Profit]]/DataTable[[#This Row],[COGS]]*100&gt;20,"Achived","Not Achived")</f>
        <v>Not Achived</v>
      </c>
      <c r="P659" s="25">
        <f>DataTable[[#This Row],[Profit]]/DataTable[[#This Row],[COGS]]</f>
        <v>9.1999999999999998E-2</v>
      </c>
      <c r="Q659">
        <f>DataTable[[#This Row],[Manufacturing Price]]*DataTable[[#This Row],[Units Sold]]</f>
        <v>664750</v>
      </c>
      <c r="R659" s="26">
        <f>DataTable[[#This Row],[COGS]]-DataTable[[#This Row],[MC_US]]</f>
        <v>0</v>
      </c>
      <c r="S659" s="26">
        <f>IF(DataTable[[#This Row],[COGS-MC_US]]&gt;=0,DataTable[[#This Row],[Manufacturing Price]],DataTable[[#This Row],[COGS]]/DataTable[[#This Row],[Units Sold]])</f>
        <v>250</v>
      </c>
    </row>
    <row r="660" spans="1:19" ht="12.75" x14ac:dyDescent="0.2">
      <c r="A660" s="20">
        <v>41821</v>
      </c>
      <c r="B660" t="s">
        <v>389</v>
      </c>
      <c r="C660" t="s">
        <v>394</v>
      </c>
      <c r="D660" t="s">
        <v>305</v>
      </c>
      <c r="E660" t="str">
        <f>VLOOKUP(DataTable[[#This Row],[Country]],Market!B:C,2,FALSE)</f>
        <v>Europe</v>
      </c>
      <c r="F660" s="24">
        <v>3</v>
      </c>
      <c r="G660" s="24">
        <v>702750</v>
      </c>
      <c r="H660" s="24">
        <v>300</v>
      </c>
      <c r="I660" s="27">
        <v>2811</v>
      </c>
      <c r="J660" s="24">
        <v>843300</v>
      </c>
      <c r="K660" s="24">
        <v>92763</v>
      </c>
      <c r="L660" s="1" t="s">
        <v>158</v>
      </c>
      <c r="M660" s="24">
        <v>750537</v>
      </c>
      <c r="N660" s="24">
        <f t="shared" si="10"/>
        <v>47787</v>
      </c>
      <c r="O660" t="str">
        <f>IF(DataTable[[#This Row],[Profit]]/DataTable[[#This Row],[COGS]]*100&gt;20,"Achived","Not Achived")</f>
        <v>Not Achived</v>
      </c>
      <c r="P660" s="25">
        <f>DataTable[[#This Row],[Profit]]/DataTable[[#This Row],[COGS]]</f>
        <v>6.8000000000000005E-2</v>
      </c>
      <c r="Q660">
        <f>DataTable[[#This Row],[Manufacturing Price]]*DataTable[[#This Row],[Units Sold]]</f>
        <v>8433</v>
      </c>
      <c r="R660" s="26">
        <f>DataTable[[#This Row],[COGS]]-DataTable[[#This Row],[MC_US]]</f>
        <v>694317</v>
      </c>
      <c r="S660" s="26">
        <f>IF(DataTable[[#This Row],[COGS-MC_US]]&gt;=0,DataTable[[#This Row],[Manufacturing Price]],DataTable[[#This Row],[COGS]]/DataTable[[#This Row],[Units Sold]])</f>
        <v>3</v>
      </c>
    </row>
    <row r="661" spans="1:19" ht="12.75" x14ac:dyDescent="0.2">
      <c r="A661" s="20">
        <v>41944</v>
      </c>
      <c r="B661" t="s">
        <v>395</v>
      </c>
      <c r="C661" t="s">
        <v>394</v>
      </c>
      <c r="D661" t="s">
        <v>305</v>
      </c>
      <c r="E661" t="str">
        <f>VLOOKUP(DataTable[[#This Row],[Country]],Market!B:C,2,FALSE)</f>
        <v>Europe</v>
      </c>
      <c r="F661" s="24">
        <v>10</v>
      </c>
      <c r="G661" s="24">
        <v>339750</v>
      </c>
      <c r="H661" s="24">
        <v>300</v>
      </c>
      <c r="I661" s="27">
        <v>1359</v>
      </c>
      <c r="J661" s="24">
        <v>407700</v>
      </c>
      <c r="K661" s="24">
        <v>48924</v>
      </c>
      <c r="L661" s="1" t="s">
        <v>158</v>
      </c>
      <c r="M661" s="24">
        <v>358776</v>
      </c>
      <c r="N661" s="24">
        <f t="shared" si="10"/>
        <v>19026</v>
      </c>
      <c r="O661" t="str">
        <f>IF(DataTable[[#This Row],[Profit]]/DataTable[[#This Row],[COGS]]*100&gt;20,"Achived","Not Achived")</f>
        <v>Not Achived</v>
      </c>
      <c r="P661" s="25">
        <f>DataTable[[#This Row],[Profit]]/DataTable[[#This Row],[COGS]]</f>
        <v>5.6000000000000001E-2</v>
      </c>
      <c r="Q661">
        <f>DataTable[[#This Row],[Manufacturing Price]]*DataTable[[#This Row],[Units Sold]]</f>
        <v>13590</v>
      </c>
      <c r="R661" s="26">
        <f>DataTable[[#This Row],[COGS]]-DataTable[[#This Row],[MC_US]]</f>
        <v>326160</v>
      </c>
      <c r="S661" s="26">
        <f>IF(DataTable[[#This Row],[COGS-MC_US]]&gt;=0,DataTable[[#This Row],[Manufacturing Price]],DataTable[[#This Row],[COGS]]/DataTable[[#This Row],[Units Sold]])</f>
        <v>10</v>
      </c>
    </row>
    <row r="662" spans="1:19" ht="12.75" x14ac:dyDescent="0.2">
      <c r="A662" s="20">
        <v>41640</v>
      </c>
      <c r="B662" t="s">
        <v>395</v>
      </c>
      <c r="C662" t="s">
        <v>394</v>
      </c>
      <c r="D662" t="s">
        <v>305</v>
      </c>
      <c r="E662" t="str">
        <f>VLOOKUP(DataTable[[#This Row],[Country]],Market!B:C,2,FALSE)</f>
        <v>Europe</v>
      </c>
      <c r="F662" s="24">
        <v>10</v>
      </c>
      <c r="G662" s="24">
        <v>201750</v>
      </c>
      <c r="H662" s="24">
        <v>300</v>
      </c>
      <c r="I662" s="27">
        <v>807</v>
      </c>
      <c r="J662" s="24">
        <v>242100</v>
      </c>
      <c r="K662" s="24">
        <v>31473</v>
      </c>
      <c r="L662" s="1" t="s">
        <v>158</v>
      </c>
      <c r="M662" s="24">
        <v>210627</v>
      </c>
      <c r="N662" s="24">
        <f t="shared" si="10"/>
        <v>8877</v>
      </c>
      <c r="O662" t="str">
        <f>IF(DataTable[[#This Row],[Profit]]/DataTable[[#This Row],[COGS]]*100&gt;20,"Achived","Not Achived")</f>
        <v>Not Achived</v>
      </c>
      <c r="P662" s="25">
        <f>DataTable[[#This Row],[Profit]]/DataTable[[#This Row],[COGS]]</f>
        <v>4.3999999999999997E-2</v>
      </c>
      <c r="Q662">
        <f>DataTable[[#This Row],[Manufacturing Price]]*DataTable[[#This Row],[Units Sold]]</f>
        <v>8070</v>
      </c>
      <c r="R662" s="26">
        <f>DataTable[[#This Row],[COGS]]-DataTable[[#This Row],[MC_US]]</f>
        <v>193680</v>
      </c>
      <c r="S662" s="26">
        <f>IF(DataTable[[#This Row],[COGS-MC_US]]&gt;=0,DataTable[[#This Row],[Manufacturing Price]],DataTable[[#This Row],[COGS]]/DataTable[[#This Row],[Units Sold]])</f>
        <v>10</v>
      </c>
    </row>
    <row r="663" spans="1:19" ht="12.75" x14ac:dyDescent="0.2">
      <c r="A663" s="20">
        <v>41579</v>
      </c>
      <c r="B663" t="s">
        <v>396</v>
      </c>
      <c r="C663" t="s">
        <v>394</v>
      </c>
      <c r="D663" t="s">
        <v>305</v>
      </c>
      <c r="E663" t="str">
        <f>VLOOKUP(DataTable[[#This Row],[Country]],Market!B:C,2,FALSE)</f>
        <v>Europe</v>
      </c>
      <c r="F663" s="24">
        <v>120</v>
      </c>
      <c r="G663" s="24">
        <v>634000</v>
      </c>
      <c r="H663" s="24">
        <v>300</v>
      </c>
      <c r="I663" s="27">
        <v>2536</v>
      </c>
      <c r="J663" s="24">
        <v>760800</v>
      </c>
      <c r="K663" s="24">
        <v>106512</v>
      </c>
      <c r="L663" s="1" t="s">
        <v>158</v>
      </c>
      <c r="M663" s="24">
        <v>654288</v>
      </c>
      <c r="N663" s="24">
        <f t="shared" si="10"/>
        <v>20288</v>
      </c>
      <c r="O663" t="str">
        <f>IF(DataTable[[#This Row],[Profit]]/DataTable[[#This Row],[COGS]]*100&gt;20,"Achived","Not Achived")</f>
        <v>Not Achived</v>
      </c>
      <c r="P663" s="25">
        <f>DataTable[[#This Row],[Profit]]/DataTable[[#This Row],[COGS]]</f>
        <v>3.2000000000000001E-2</v>
      </c>
      <c r="Q663">
        <f>DataTable[[#This Row],[Manufacturing Price]]*DataTable[[#This Row],[Units Sold]]</f>
        <v>304320</v>
      </c>
      <c r="R663" s="26">
        <f>DataTable[[#This Row],[COGS]]-DataTable[[#This Row],[MC_US]]</f>
        <v>329680</v>
      </c>
      <c r="S663" s="26">
        <f>IF(DataTable[[#This Row],[COGS-MC_US]]&gt;=0,DataTable[[#This Row],[Manufacturing Price]],DataTable[[#This Row],[COGS]]/DataTable[[#This Row],[Units Sold]])</f>
        <v>120</v>
      </c>
    </row>
    <row r="664" spans="1:19" ht="12.75" hidden="1" x14ac:dyDescent="0.2">
      <c r="A664" s="20">
        <v>41883</v>
      </c>
      <c r="B664" t="s">
        <v>397</v>
      </c>
      <c r="C664" t="s">
        <v>394</v>
      </c>
      <c r="D664" t="s">
        <v>304</v>
      </c>
      <c r="E664" t="str">
        <f>VLOOKUP(DataTable[[#This Row],[Country]],Market!B:C,2,FALSE)</f>
        <v>Europe</v>
      </c>
      <c r="F664" s="24">
        <v>250</v>
      </c>
      <c r="G664" s="24">
        <v>537750</v>
      </c>
      <c r="H664" s="24">
        <v>300</v>
      </c>
      <c r="I664" s="27">
        <v>2151</v>
      </c>
      <c r="J664" s="24">
        <v>645300</v>
      </c>
      <c r="K664" s="24">
        <v>0</v>
      </c>
      <c r="L664" s="1" t="s">
        <v>12</v>
      </c>
      <c r="M664" s="24">
        <v>645300</v>
      </c>
      <c r="N664" s="24">
        <f t="shared" si="10"/>
        <v>107550</v>
      </c>
      <c r="O664" t="str">
        <f>IF(DataTable[[#This Row],[Profit]]/DataTable[[#This Row],[COGS]]*100&gt;20,"Achived","Not Achived")</f>
        <v>Not Achived</v>
      </c>
      <c r="P664" s="25">
        <f>DataTable[[#This Row],[Profit]]/DataTable[[#This Row],[COGS]]</f>
        <v>0.2</v>
      </c>
      <c r="Q664">
        <f>DataTable[[#This Row],[Manufacturing Price]]*DataTable[[#This Row],[Units Sold]]</f>
        <v>537750</v>
      </c>
      <c r="R664" s="26">
        <f>DataTable[[#This Row],[COGS]]-DataTable[[#This Row],[MC_US]]</f>
        <v>0</v>
      </c>
      <c r="S664" s="26">
        <f>IF(DataTable[[#This Row],[COGS-MC_US]]&gt;=0,DataTable[[#This Row],[Manufacturing Price]],DataTable[[#This Row],[COGS]]/DataTable[[#This Row],[Units Sold]])</f>
        <v>250</v>
      </c>
    </row>
    <row r="665" spans="1:19" ht="12.75" hidden="1" x14ac:dyDescent="0.2">
      <c r="A665" s="20">
        <v>41760</v>
      </c>
      <c r="B665" t="s">
        <v>395</v>
      </c>
      <c r="C665" t="s">
        <v>394</v>
      </c>
      <c r="D665" t="s">
        <v>304</v>
      </c>
      <c r="E665" t="str">
        <f>VLOOKUP(DataTable[[#This Row],[Country]],Market!B:C,2,FALSE)</f>
        <v>Europe</v>
      </c>
      <c r="F665" s="24">
        <v>10</v>
      </c>
      <c r="G665" s="24">
        <v>229500</v>
      </c>
      <c r="H665" s="24">
        <v>300</v>
      </c>
      <c r="I665" s="27">
        <v>918</v>
      </c>
      <c r="J665" s="24">
        <v>275400</v>
      </c>
      <c r="K665" s="24">
        <v>5508</v>
      </c>
      <c r="L665" s="1" t="s">
        <v>57</v>
      </c>
      <c r="M665" s="24">
        <v>269892</v>
      </c>
      <c r="N665" s="24">
        <f t="shared" si="10"/>
        <v>40392</v>
      </c>
      <c r="O665" t="str">
        <f>IF(DataTable[[#This Row],[Profit]]/DataTable[[#This Row],[COGS]]*100&gt;20,"Achived","Not Achived")</f>
        <v>Not Achived</v>
      </c>
      <c r="P665" s="25">
        <f>DataTable[[#This Row],[Profit]]/DataTable[[#This Row],[COGS]]</f>
        <v>0.17599999999999999</v>
      </c>
      <c r="Q665">
        <f>DataTable[[#This Row],[Manufacturing Price]]*DataTable[[#This Row],[Units Sold]]</f>
        <v>9180</v>
      </c>
      <c r="R665" s="26">
        <f>DataTable[[#This Row],[COGS]]-DataTable[[#This Row],[MC_US]]</f>
        <v>220320</v>
      </c>
      <c r="S665" s="26">
        <f>IF(DataTable[[#This Row],[COGS-MC_US]]&gt;=0,DataTable[[#This Row],[Manufacturing Price]],DataTable[[#This Row],[COGS]]/DataTable[[#This Row],[Units Sold]])</f>
        <v>10</v>
      </c>
    </row>
    <row r="666" spans="1:19" ht="12.75" hidden="1" x14ac:dyDescent="0.2">
      <c r="A666" s="20">
        <v>41640</v>
      </c>
      <c r="B666" t="s">
        <v>395</v>
      </c>
      <c r="C666" t="s">
        <v>394</v>
      </c>
      <c r="D666" t="s">
        <v>304</v>
      </c>
      <c r="E666" t="str">
        <f>VLOOKUP(DataTable[[#This Row],[Country]],Market!B:C,2,FALSE)</f>
        <v>Europe</v>
      </c>
      <c r="F666" s="24">
        <v>10</v>
      </c>
      <c r="G666" s="24">
        <v>608625</v>
      </c>
      <c r="H666" s="24">
        <v>300</v>
      </c>
      <c r="I666" s="27">
        <v>2434.5</v>
      </c>
      <c r="J666" s="24">
        <v>730350</v>
      </c>
      <c r="K666" s="24">
        <v>21910.5</v>
      </c>
      <c r="L666" s="1" t="s">
        <v>57</v>
      </c>
      <c r="M666" s="24">
        <v>708439.5</v>
      </c>
      <c r="N666" s="24">
        <f t="shared" si="10"/>
        <v>99814.5</v>
      </c>
      <c r="O666" t="str">
        <f>IF(DataTable[[#This Row],[Profit]]/DataTable[[#This Row],[COGS]]*100&gt;20,"Achived","Not Achived")</f>
        <v>Not Achived</v>
      </c>
      <c r="P666" s="25">
        <f>DataTable[[#This Row],[Profit]]/DataTable[[#This Row],[COGS]]</f>
        <v>0.16400000000000001</v>
      </c>
      <c r="Q666">
        <f>DataTable[[#This Row],[Manufacturing Price]]*DataTable[[#This Row],[Units Sold]]</f>
        <v>24345</v>
      </c>
      <c r="R666" s="26">
        <f>DataTable[[#This Row],[COGS]]-DataTable[[#This Row],[MC_US]]</f>
        <v>584280</v>
      </c>
      <c r="S666" s="26">
        <f>IF(DataTable[[#This Row],[COGS-MC_US]]&gt;=0,DataTable[[#This Row],[Manufacturing Price]],DataTable[[#This Row],[COGS]]/DataTable[[#This Row],[Units Sold]])</f>
        <v>10</v>
      </c>
    </row>
    <row r="667" spans="1:19" ht="12.75" hidden="1" x14ac:dyDescent="0.2">
      <c r="A667" s="20">
        <v>41548</v>
      </c>
      <c r="B667" t="s">
        <v>396</v>
      </c>
      <c r="C667" t="s">
        <v>394</v>
      </c>
      <c r="D667" t="s">
        <v>304</v>
      </c>
      <c r="E667" t="str">
        <f>VLOOKUP(DataTable[[#This Row],[Country]],Market!B:C,2,FALSE)</f>
        <v>Europe</v>
      </c>
      <c r="F667" s="24">
        <v>120</v>
      </c>
      <c r="G667" s="24">
        <v>305250</v>
      </c>
      <c r="H667" s="24">
        <v>300</v>
      </c>
      <c r="I667" s="27">
        <v>1221</v>
      </c>
      <c r="J667" s="24">
        <v>366300</v>
      </c>
      <c r="K667" s="24">
        <v>21978</v>
      </c>
      <c r="L667" s="1" t="s">
        <v>124</v>
      </c>
      <c r="M667" s="24">
        <v>344322</v>
      </c>
      <c r="N667" s="24">
        <f t="shared" si="10"/>
        <v>39072</v>
      </c>
      <c r="O667" t="str">
        <f>IF(DataTable[[#This Row],[Profit]]/DataTable[[#This Row],[COGS]]*100&gt;20,"Achived","Not Achived")</f>
        <v>Not Achived</v>
      </c>
      <c r="P667" s="25">
        <f>DataTable[[#This Row],[Profit]]/DataTable[[#This Row],[COGS]]</f>
        <v>0.128</v>
      </c>
      <c r="Q667">
        <f>DataTable[[#This Row],[Manufacturing Price]]*DataTable[[#This Row],[Units Sold]]</f>
        <v>146520</v>
      </c>
      <c r="R667" s="26">
        <f>DataTable[[#This Row],[COGS]]-DataTable[[#This Row],[MC_US]]</f>
        <v>158730</v>
      </c>
      <c r="S667" s="26">
        <f>IF(DataTable[[#This Row],[COGS-MC_US]]&gt;=0,DataTable[[#This Row],[Manufacturing Price]],DataTable[[#This Row],[COGS]]/DataTable[[#This Row],[Units Sold]])</f>
        <v>120</v>
      </c>
    </row>
    <row r="668" spans="1:19" ht="12.75" hidden="1" x14ac:dyDescent="0.2">
      <c r="A668" s="20">
        <v>41548</v>
      </c>
      <c r="B668" t="s">
        <v>397</v>
      </c>
      <c r="C668" t="s">
        <v>394</v>
      </c>
      <c r="D668" t="s">
        <v>304</v>
      </c>
      <c r="E668" t="str">
        <f>VLOOKUP(DataTable[[#This Row],[Country]],Market!B:C,2,FALSE)</f>
        <v>Europe</v>
      </c>
      <c r="F668" s="24">
        <v>250</v>
      </c>
      <c r="G668" s="24">
        <v>305250</v>
      </c>
      <c r="H668" s="24">
        <v>300</v>
      </c>
      <c r="I668" s="27">
        <v>1221</v>
      </c>
      <c r="J668" s="24">
        <v>366300</v>
      </c>
      <c r="K668" s="24">
        <v>21978</v>
      </c>
      <c r="L668" s="1" t="s">
        <v>124</v>
      </c>
      <c r="M668" s="24">
        <v>344322</v>
      </c>
      <c r="N668" s="24">
        <f t="shared" si="10"/>
        <v>39072</v>
      </c>
      <c r="O668" t="str">
        <f>IF(DataTable[[#This Row],[Profit]]/DataTable[[#This Row],[COGS]]*100&gt;20,"Achived","Not Achived")</f>
        <v>Not Achived</v>
      </c>
      <c r="P668" s="25">
        <f>DataTable[[#This Row],[Profit]]/DataTable[[#This Row],[COGS]]</f>
        <v>0.128</v>
      </c>
      <c r="Q668">
        <f>DataTable[[#This Row],[Manufacturing Price]]*DataTable[[#This Row],[Units Sold]]</f>
        <v>305250</v>
      </c>
      <c r="R668" s="26">
        <f>DataTable[[#This Row],[COGS]]-DataTable[[#This Row],[MC_US]]</f>
        <v>0</v>
      </c>
      <c r="S668" s="26">
        <f>IF(DataTable[[#This Row],[COGS-MC_US]]&gt;=0,DataTable[[#This Row],[Manufacturing Price]],DataTable[[#This Row],[COGS]]/DataTable[[#This Row],[Units Sold]])</f>
        <v>250</v>
      </c>
    </row>
    <row r="669" spans="1:19" ht="12.75" hidden="1" x14ac:dyDescent="0.2">
      <c r="A669" s="20">
        <v>41791</v>
      </c>
      <c r="B669" t="s">
        <v>389</v>
      </c>
      <c r="C669" t="s">
        <v>394</v>
      </c>
      <c r="D669" t="s">
        <v>304</v>
      </c>
      <c r="E669" t="str">
        <f>VLOOKUP(DataTable[[#This Row],[Country]],Market!B:C,2,FALSE)</f>
        <v>Europe</v>
      </c>
      <c r="F669" s="24">
        <v>3</v>
      </c>
      <c r="G669" s="24">
        <v>112000</v>
      </c>
      <c r="H669" s="24">
        <v>300</v>
      </c>
      <c r="I669" s="27">
        <v>448</v>
      </c>
      <c r="J669" s="24">
        <v>134400</v>
      </c>
      <c r="K669" s="24">
        <v>9408</v>
      </c>
      <c r="L669" s="1" t="s">
        <v>124</v>
      </c>
      <c r="M669" s="24">
        <v>124992</v>
      </c>
      <c r="N669" s="24">
        <f t="shared" si="10"/>
        <v>12992</v>
      </c>
      <c r="O669" t="str">
        <f>IF(DataTable[[#This Row],[Profit]]/DataTable[[#This Row],[COGS]]*100&gt;20,"Achived","Not Achived")</f>
        <v>Not Achived</v>
      </c>
      <c r="P669" s="25">
        <f>DataTable[[#This Row],[Profit]]/DataTable[[#This Row],[COGS]]</f>
        <v>0.11600000000000001</v>
      </c>
      <c r="Q669">
        <f>DataTable[[#This Row],[Manufacturing Price]]*DataTable[[#This Row],[Units Sold]]</f>
        <v>1344</v>
      </c>
      <c r="R669" s="26">
        <f>DataTable[[#This Row],[COGS]]-DataTable[[#This Row],[MC_US]]</f>
        <v>110656</v>
      </c>
      <c r="S669" s="26">
        <f>IF(DataTable[[#This Row],[COGS-MC_US]]&gt;=0,DataTable[[#This Row],[Manufacturing Price]],DataTable[[#This Row],[COGS]]/DataTable[[#This Row],[Units Sold]])</f>
        <v>3</v>
      </c>
    </row>
    <row r="670" spans="1:19" ht="12.75" hidden="1" x14ac:dyDescent="0.2">
      <c r="A670" s="20">
        <v>41913</v>
      </c>
      <c r="B670" t="s">
        <v>389</v>
      </c>
      <c r="C670" t="s">
        <v>394</v>
      </c>
      <c r="D670" t="s">
        <v>304</v>
      </c>
      <c r="E670" t="str">
        <f>VLOOKUP(DataTable[[#This Row],[Country]],Market!B:C,2,FALSE)</f>
        <v>Europe</v>
      </c>
      <c r="F670" s="24">
        <v>3</v>
      </c>
      <c r="G670" s="24">
        <v>545250</v>
      </c>
      <c r="H670" s="24">
        <v>300</v>
      </c>
      <c r="I670" s="27">
        <v>2181</v>
      </c>
      <c r="J670" s="24">
        <v>654300</v>
      </c>
      <c r="K670" s="24">
        <v>45801</v>
      </c>
      <c r="L670" s="1" t="s">
        <v>124</v>
      </c>
      <c r="M670" s="24">
        <v>608499</v>
      </c>
      <c r="N670" s="24">
        <f t="shared" si="10"/>
        <v>63249</v>
      </c>
      <c r="O670" t="str">
        <f>IF(DataTable[[#This Row],[Profit]]/DataTable[[#This Row],[COGS]]*100&gt;20,"Achived","Not Achived")</f>
        <v>Not Achived</v>
      </c>
      <c r="P670" s="25">
        <f>DataTable[[#This Row],[Profit]]/DataTable[[#This Row],[COGS]]</f>
        <v>0.11600000000000001</v>
      </c>
      <c r="Q670">
        <f>DataTable[[#This Row],[Manufacturing Price]]*DataTable[[#This Row],[Units Sold]]</f>
        <v>6543</v>
      </c>
      <c r="R670" s="26">
        <f>DataTable[[#This Row],[COGS]]-DataTable[[#This Row],[MC_US]]</f>
        <v>538707</v>
      </c>
      <c r="S670" s="26">
        <f>IF(DataTable[[#This Row],[COGS-MC_US]]&gt;=0,DataTable[[#This Row],[Manufacturing Price]],DataTable[[#This Row],[COGS]]/DataTable[[#This Row],[Units Sold]])</f>
        <v>3</v>
      </c>
    </row>
    <row r="671" spans="1:19" ht="12.75" hidden="1" x14ac:dyDescent="0.2">
      <c r="A671" s="20">
        <v>41913</v>
      </c>
      <c r="B671" t="s">
        <v>391</v>
      </c>
      <c r="C671" t="s">
        <v>394</v>
      </c>
      <c r="D671" t="s">
        <v>304</v>
      </c>
      <c r="E671" t="str">
        <f>VLOOKUP(DataTable[[#This Row],[Country]],Market!B:C,2,FALSE)</f>
        <v>Europe</v>
      </c>
      <c r="F671" s="24">
        <v>5</v>
      </c>
      <c r="G671" s="24">
        <v>545250</v>
      </c>
      <c r="H671" s="24">
        <v>300</v>
      </c>
      <c r="I671" s="27">
        <v>2181</v>
      </c>
      <c r="J671" s="24">
        <v>654300</v>
      </c>
      <c r="K671" s="24">
        <v>45801</v>
      </c>
      <c r="L671" s="1" t="s">
        <v>124</v>
      </c>
      <c r="M671" s="24">
        <v>608499</v>
      </c>
      <c r="N671" s="24">
        <f t="shared" si="10"/>
        <v>63249</v>
      </c>
      <c r="O671" t="str">
        <f>IF(DataTable[[#This Row],[Profit]]/DataTable[[#This Row],[COGS]]*100&gt;20,"Achived","Not Achived")</f>
        <v>Not Achived</v>
      </c>
      <c r="P671" s="25">
        <f>DataTable[[#This Row],[Profit]]/DataTable[[#This Row],[COGS]]</f>
        <v>0.11600000000000001</v>
      </c>
      <c r="Q671">
        <f>DataTable[[#This Row],[Manufacturing Price]]*DataTable[[#This Row],[Units Sold]]</f>
        <v>10905</v>
      </c>
      <c r="R671" s="26">
        <f>DataTable[[#This Row],[COGS]]-DataTable[[#This Row],[MC_US]]</f>
        <v>534345</v>
      </c>
      <c r="S671" s="26">
        <f>IF(DataTable[[#This Row],[COGS-MC_US]]&gt;=0,DataTable[[#This Row],[Manufacturing Price]],DataTable[[#This Row],[COGS]]/DataTable[[#This Row],[Units Sold]])</f>
        <v>5</v>
      </c>
    </row>
    <row r="672" spans="1:19" ht="12.75" hidden="1" x14ac:dyDescent="0.2">
      <c r="A672" s="20">
        <v>41791</v>
      </c>
      <c r="B672" t="s">
        <v>395</v>
      </c>
      <c r="C672" t="s">
        <v>394</v>
      </c>
      <c r="D672" t="s">
        <v>304</v>
      </c>
      <c r="E672" t="str">
        <f>VLOOKUP(DataTable[[#This Row],[Country]],Market!B:C,2,FALSE)</f>
        <v>Europe</v>
      </c>
      <c r="F672" s="24">
        <v>10</v>
      </c>
      <c r="G672" s="24">
        <v>112000</v>
      </c>
      <c r="H672" s="24">
        <v>300</v>
      </c>
      <c r="I672" s="27">
        <v>448</v>
      </c>
      <c r="J672" s="24">
        <v>134400</v>
      </c>
      <c r="K672" s="24">
        <v>9408</v>
      </c>
      <c r="L672" s="1" t="s">
        <v>124</v>
      </c>
      <c r="M672" s="24">
        <v>124992</v>
      </c>
      <c r="N672" s="24">
        <f t="shared" si="10"/>
        <v>12992</v>
      </c>
      <c r="O672" t="str">
        <f>IF(DataTable[[#This Row],[Profit]]/DataTable[[#This Row],[COGS]]*100&gt;20,"Achived","Not Achived")</f>
        <v>Not Achived</v>
      </c>
      <c r="P672" s="25">
        <f>DataTable[[#This Row],[Profit]]/DataTable[[#This Row],[COGS]]</f>
        <v>0.11600000000000001</v>
      </c>
      <c r="Q672">
        <f>DataTable[[#This Row],[Manufacturing Price]]*DataTable[[#This Row],[Units Sold]]</f>
        <v>4480</v>
      </c>
      <c r="R672" s="26">
        <f>DataTable[[#This Row],[COGS]]-DataTable[[#This Row],[MC_US]]</f>
        <v>107520</v>
      </c>
      <c r="S672" s="26">
        <f>IF(DataTable[[#This Row],[COGS-MC_US]]&gt;=0,DataTable[[#This Row],[Manufacturing Price]],DataTable[[#This Row],[COGS]]/DataTable[[#This Row],[Units Sold]])</f>
        <v>10</v>
      </c>
    </row>
    <row r="673" spans="1:19" ht="12.75" hidden="1" x14ac:dyDescent="0.2">
      <c r="A673" s="20">
        <v>41821</v>
      </c>
      <c r="B673" t="s">
        <v>396</v>
      </c>
      <c r="C673" t="s">
        <v>394</v>
      </c>
      <c r="D673" t="s">
        <v>304</v>
      </c>
      <c r="E673" t="str">
        <f>VLOOKUP(DataTable[[#This Row],[Country]],Market!B:C,2,FALSE)</f>
        <v>Europe</v>
      </c>
      <c r="F673" s="24">
        <v>120</v>
      </c>
      <c r="G673" s="24">
        <v>414750</v>
      </c>
      <c r="H673" s="24">
        <v>300</v>
      </c>
      <c r="I673" s="27">
        <v>1659</v>
      </c>
      <c r="J673" s="24">
        <v>497700</v>
      </c>
      <c r="K673" s="24">
        <v>34839</v>
      </c>
      <c r="L673" s="1" t="s">
        <v>124</v>
      </c>
      <c r="M673" s="24">
        <v>462861</v>
      </c>
      <c r="N673" s="24">
        <f t="shared" si="10"/>
        <v>48111</v>
      </c>
      <c r="O673" t="str">
        <f>IF(DataTable[[#This Row],[Profit]]/DataTable[[#This Row],[COGS]]*100&gt;20,"Achived","Not Achived")</f>
        <v>Not Achived</v>
      </c>
      <c r="P673" s="25">
        <f>DataTable[[#This Row],[Profit]]/DataTable[[#This Row],[COGS]]</f>
        <v>0.11600000000000001</v>
      </c>
      <c r="Q673">
        <f>DataTable[[#This Row],[Manufacturing Price]]*DataTable[[#This Row],[Units Sold]]</f>
        <v>199080</v>
      </c>
      <c r="R673" s="26">
        <f>DataTable[[#This Row],[COGS]]-DataTable[[#This Row],[MC_US]]</f>
        <v>215670</v>
      </c>
      <c r="S673" s="26">
        <f>IF(DataTable[[#This Row],[COGS-MC_US]]&gt;=0,DataTable[[#This Row],[Manufacturing Price]],DataTable[[#This Row],[COGS]]/DataTable[[#This Row],[Units Sold]])</f>
        <v>120</v>
      </c>
    </row>
    <row r="674" spans="1:19" ht="12.75" hidden="1" x14ac:dyDescent="0.2">
      <c r="A674" s="20">
        <v>41671</v>
      </c>
      <c r="B674" t="s">
        <v>397</v>
      </c>
      <c r="C674" t="s">
        <v>394</v>
      </c>
      <c r="D674" t="s">
        <v>304</v>
      </c>
      <c r="E674" t="str">
        <f>VLOOKUP(DataTable[[#This Row],[Country]],Market!B:C,2,FALSE)</f>
        <v>Europe</v>
      </c>
      <c r="F674" s="24">
        <v>250</v>
      </c>
      <c r="G674" s="24">
        <v>239750</v>
      </c>
      <c r="H674" s="24">
        <v>300</v>
      </c>
      <c r="I674" s="27">
        <v>959</v>
      </c>
      <c r="J674" s="24">
        <v>287700</v>
      </c>
      <c r="K674" s="24">
        <v>20139</v>
      </c>
      <c r="L674" s="1" t="s">
        <v>124</v>
      </c>
      <c r="M674" s="24">
        <v>267561</v>
      </c>
      <c r="N674" s="24">
        <f t="shared" si="10"/>
        <v>27811</v>
      </c>
      <c r="O674" t="str">
        <f>IF(DataTable[[#This Row],[Profit]]/DataTable[[#This Row],[COGS]]*100&gt;20,"Achived","Not Achived")</f>
        <v>Not Achived</v>
      </c>
      <c r="P674" s="25">
        <f>DataTable[[#This Row],[Profit]]/DataTable[[#This Row],[COGS]]</f>
        <v>0.11600000000000001</v>
      </c>
      <c r="Q674">
        <f>DataTable[[#This Row],[Manufacturing Price]]*DataTable[[#This Row],[Units Sold]]</f>
        <v>239750</v>
      </c>
      <c r="R674" s="26">
        <f>DataTable[[#This Row],[COGS]]-DataTable[[#This Row],[MC_US]]</f>
        <v>0</v>
      </c>
      <c r="S674" s="26">
        <f>IF(DataTable[[#This Row],[COGS-MC_US]]&gt;=0,DataTable[[#This Row],[Manufacturing Price]],DataTable[[#This Row],[COGS]]/DataTable[[#This Row],[Units Sold]])</f>
        <v>250</v>
      </c>
    </row>
    <row r="675" spans="1:19" ht="12.75" hidden="1" x14ac:dyDescent="0.2">
      <c r="A675" s="20">
        <v>41852</v>
      </c>
      <c r="B675" t="s">
        <v>391</v>
      </c>
      <c r="C675" t="s">
        <v>394</v>
      </c>
      <c r="D675" t="s">
        <v>304</v>
      </c>
      <c r="E675" t="str">
        <f>VLOOKUP(DataTable[[#This Row],[Country]],Market!B:C,2,FALSE)</f>
        <v>Europe</v>
      </c>
      <c r="F675" s="24">
        <v>5</v>
      </c>
      <c r="G675" s="24">
        <v>390500</v>
      </c>
      <c r="H675" s="24">
        <v>300</v>
      </c>
      <c r="I675" s="27">
        <v>1562</v>
      </c>
      <c r="J675" s="24">
        <v>468600</v>
      </c>
      <c r="K675" s="24">
        <v>37488</v>
      </c>
      <c r="L675" s="1" t="s">
        <v>124</v>
      </c>
      <c r="M675" s="24">
        <v>431112</v>
      </c>
      <c r="N675" s="24">
        <f t="shared" si="10"/>
        <v>40612</v>
      </c>
      <c r="O675" t="str">
        <f>IF(DataTable[[#This Row],[Profit]]/DataTable[[#This Row],[COGS]]*100&gt;20,"Achived","Not Achived")</f>
        <v>Not Achived</v>
      </c>
      <c r="P675" s="25">
        <f>DataTable[[#This Row],[Profit]]/DataTable[[#This Row],[COGS]]</f>
        <v>0.104</v>
      </c>
      <c r="Q675">
        <f>DataTable[[#This Row],[Manufacturing Price]]*DataTable[[#This Row],[Units Sold]]</f>
        <v>7810</v>
      </c>
      <c r="R675" s="26">
        <f>DataTable[[#This Row],[COGS]]-DataTable[[#This Row],[MC_US]]</f>
        <v>382690</v>
      </c>
      <c r="S675" s="26">
        <f>IF(DataTable[[#This Row],[COGS-MC_US]]&gt;=0,DataTable[[#This Row],[Manufacturing Price]],DataTable[[#This Row],[COGS]]/DataTable[[#This Row],[Units Sold]])</f>
        <v>5</v>
      </c>
    </row>
    <row r="676" spans="1:19" ht="12.75" hidden="1" x14ac:dyDescent="0.2">
      <c r="A676" s="20">
        <v>41579</v>
      </c>
      <c r="B676" t="s">
        <v>396</v>
      </c>
      <c r="C676" t="s">
        <v>394</v>
      </c>
      <c r="D676" t="s">
        <v>304</v>
      </c>
      <c r="E676" t="str">
        <f>VLOOKUP(DataTable[[#This Row],[Country]],Market!B:C,2,FALSE)</f>
        <v>Europe</v>
      </c>
      <c r="F676" s="24">
        <v>120</v>
      </c>
      <c r="G676" s="24">
        <v>96500</v>
      </c>
      <c r="H676" s="24">
        <v>300</v>
      </c>
      <c r="I676" s="27">
        <v>386</v>
      </c>
      <c r="J676" s="24">
        <v>115800</v>
      </c>
      <c r="K676" s="24">
        <v>9264</v>
      </c>
      <c r="L676" s="1" t="s">
        <v>124</v>
      </c>
      <c r="M676" s="24">
        <v>106536</v>
      </c>
      <c r="N676" s="24">
        <f t="shared" si="10"/>
        <v>10036</v>
      </c>
      <c r="O676" t="str">
        <f>IF(DataTable[[#This Row],[Profit]]/DataTable[[#This Row],[COGS]]*100&gt;20,"Achived","Not Achived")</f>
        <v>Not Achived</v>
      </c>
      <c r="P676" s="25">
        <f>DataTable[[#This Row],[Profit]]/DataTable[[#This Row],[COGS]]</f>
        <v>0.104</v>
      </c>
      <c r="Q676">
        <f>DataTable[[#This Row],[Manufacturing Price]]*DataTable[[#This Row],[Units Sold]]</f>
        <v>46320</v>
      </c>
      <c r="R676" s="26">
        <f>DataTable[[#This Row],[COGS]]-DataTable[[#This Row],[MC_US]]</f>
        <v>50180</v>
      </c>
      <c r="S676" s="26">
        <f>IF(DataTable[[#This Row],[COGS-MC_US]]&gt;=0,DataTable[[#This Row],[Manufacturing Price]],DataTable[[#This Row],[COGS]]/DataTable[[#This Row],[Units Sold]])</f>
        <v>120</v>
      </c>
    </row>
    <row r="677" spans="1:19" ht="12.75" hidden="1" x14ac:dyDescent="0.2">
      <c r="A677" s="20">
        <v>41518</v>
      </c>
      <c r="B677" t="s">
        <v>391</v>
      </c>
      <c r="C677" t="s">
        <v>394</v>
      </c>
      <c r="D677" t="s">
        <v>304</v>
      </c>
      <c r="E677" t="str">
        <f>VLOOKUP(DataTable[[#This Row],[Country]],Market!B:C,2,FALSE)</f>
        <v>Europe</v>
      </c>
      <c r="F677" s="24">
        <v>5</v>
      </c>
      <c r="G677" s="24">
        <v>80500</v>
      </c>
      <c r="H677" s="24">
        <v>300</v>
      </c>
      <c r="I677" s="27">
        <v>322</v>
      </c>
      <c r="J677" s="24">
        <v>96600</v>
      </c>
      <c r="K677" s="24">
        <v>8694</v>
      </c>
      <c r="L677" s="1" t="s">
        <v>124</v>
      </c>
      <c r="M677" s="24">
        <v>87906</v>
      </c>
      <c r="N677" s="24">
        <f t="shared" si="10"/>
        <v>7406</v>
      </c>
      <c r="O677" t="str">
        <f>IF(DataTable[[#This Row],[Profit]]/DataTable[[#This Row],[COGS]]*100&gt;20,"Achived","Not Achived")</f>
        <v>Not Achived</v>
      </c>
      <c r="P677" s="25">
        <f>DataTable[[#This Row],[Profit]]/DataTable[[#This Row],[COGS]]</f>
        <v>9.1999999999999998E-2</v>
      </c>
      <c r="Q677">
        <f>DataTable[[#This Row],[Manufacturing Price]]*DataTable[[#This Row],[Units Sold]]</f>
        <v>1610</v>
      </c>
      <c r="R677" s="26">
        <f>DataTable[[#This Row],[COGS]]-DataTable[[#This Row],[MC_US]]</f>
        <v>78890</v>
      </c>
      <c r="S677" s="26">
        <f>IF(DataTable[[#This Row],[COGS-MC_US]]&gt;=0,DataTable[[#This Row],[Manufacturing Price]],DataTable[[#This Row],[COGS]]/DataTable[[#This Row],[Units Sold]])</f>
        <v>5</v>
      </c>
    </row>
    <row r="678" spans="1:19" ht="12.75" hidden="1" x14ac:dyDescent="0.2">
      <c r="A678" s="20">
        <v>41944</v>
      </c>
      <c r="B678" t="s">
        <v>395</v>
      </c>
      <c r="C678" t="s">
        <v>394</v>
      </c>
      <c r="D678" t="s">
        <v>304</v>
      </c>
      <c r="E678" t="str">
        <f>VLOOKUP(DataTable[[#This Row],[Country]],Market!B:C,2,FALSE)</f>
        <v>Europe</v>
      </c>
      <c r="F678" s="24">
        <v>10</v>
      </c>
      <c r="G678" s="24">
        <v>331000</v>
      </c>
      <c r="H678" s="24">
        <v>300</v>
      </c>
      <c r="I678" s="27">
        <v>1324</v>
      </c>
      <c r="J678" s="24">
        <v>397200</v>
      </c>
      <c r="K678" s="24">
        <v>35748</v>
      </c>
      <c r="L678" s="1" t="s">
        <v>124</v>
      </c>
      <c r="M678" s="24">
        <v>361452</v>
      </c>
      <c r="N678" s="24">
        <f t="shared" si="10"/>
        <v>30452</v>
      </c>
      <c r="O678" t="str">
        <f>IF(DataTable[[#This Row],[Profit]]/DataTable[[#This Row],[COGS]]*100&gt;20,"Achived","Not Achived")</f>
        <v>Not Achived</v>
      </c>
      <c r="P678" s="25">
        <f>DataTable[[#This Row],[Profit]]/DataTable[[#This Row],[COGS]]</f>
        <v>9.1999999999999998E-2</v>
      </c>
      <c r="Q678">
        <f>DataTable[[#This Row],[Manufacturing Price]]*DataTable[[#This Row],[Units Sold]]</f>
        <v>13240</v>
      </c>
      <c r="R678" s="26">
        <f>DataTable[[#This Row],[COGS]]-DataTable[[#This Row],[MC_US]]</f>
        <v>317760</v>
      </c>
      <c r="S678" s="26">
        <f>IF(DataTable[[#This Row],[COGS-MC_US]]&gt;=0,DataTable[[#This Row],[Manufacturing Price]],DataTable[[#This Row],[COGS]]/DataTable[[#This Row],[Units Sold]])</f>
        <v>10</v>
      </c>
    </row>
    <row r="679" spans="1:19" ht="12.75" x14ac:dyDescent="0.2">
      <c r="A679" s="20">
        <v>41974</v>
      </c>
      <c r="B679" t="s">
        <v>396</v>
      </c>
      <c r="C679" t="s">
        <v>394</v>
      </c>
      <c r="D679" t="s">
        <v>304</v>
      </c>
      <c r="E679" t="str">
        <f>VLOOKUP(DataTable[[#This Row],[Country]],Market!B:C,2,FALSE)</f>
        <v>Europe</v>
      </c>
      <c r="F679" s="24">
        <v>120</v>
      </c>
      <c r="G679" s="24">
        <v>213250</v>
      </c>
      <c r="H679" s="24">
        <v>300</v>
      </c>
      <c r="I679" s="27">
        <v>853</v>
      </c>
      <c r="J679" s="24">
        <v>255900</v>
      </c>
      <c r="K679" s="24">
        <v>25590</v>
      </c>
      <c r="L679" s="1" t="s">
        <v>158</v>
      </c>
      <c r="M679" s="24">
        <v>230310</v>
      </c>
      <c r="N679" s="24">
        <f t="shared" si="10"/>
        <v>17060</v>
      </c>
      <c r="O679" t="str">
        <f>IF(DataTable[[#This Row],[Profit]]/DataTable[[#This Row],[COGS]]*100&gt;20,"Achived","Not Achived")</f>
        <v>Not Achived</v>
      </c>
      <c r="P679" s="25">
        <f>DataTable[[#This Row],[Profit]]/DataTable[[#This Row],[COGS]]</f>
        <v>0.08</v>
      </c>
      <c r="Q679">
        <f>DataTable[[#This Row],[Manufacturing Price]]*DataTable[[#This Row],[Units Sold]]</f>
        <v>102360</v>
      </c>
      <c r="R679" s="26">
        <f>DataTable[[#This Row],[COGS]]-DataTable[[#This Row],[MC_US]]</f>
        <v>110890</v>
      </c>
      <c r="S679" s="26">
        <f>IF(DataTable[[#This Row],[COGS-MC_US]]&gt;=0,DataTable[[#This Row],[Manufacturing Price]],DataTable[[#This Row],[COGS]]/DataTable[[#This Row],[Units Sold]])</f>
        <v>120</v>
      </c>
    </row>
    <row r="680" spans="1:19" ht="12.75" x14ac:dyDescent="0.2">
      <c r="A680" s="20">
        <v>41974</v>
      </c>
      <c r="B680" t="s">
        <v>398</v>
      </c>
      <c r="C680" t="s">
        <v>394</v>
      </c>
      <c r="D680" t="s">
        <v>304</v>
      </c>
      <c r="E680" t="str">
        <f>VLOOKUP(DataTable[[#This Row],[Country]],Market!B:C,2,FALSE)</f>
        <v>Europe</v>
      </c>
      <c r="F680" s="24">
        <v>260</v>
      </c>
      <c r="G680" s="24">
        <v>213250</v>
      </c>
      <c r="H680" s="24">
        <v>300</v>
      </c>
      <c r="I680" s="27">
        <v>853</v>
      </c>
      <c r="J680" s="24">
        <v>255900</v>
      </c>
      <c r="K680" s="24">
        <v>25590</v>
      </c>
      <c r="L680" s="1" t="s">
        <v>158</v>
      </c>
      <c r="M680" s="24">
        <v>230310</v>
      </c>
      <c r="N680" s="24">
        <f t="shared" si="10"/>
        <v>17060</v>
      </c>
      <c r="O680" t="str">
        <f>IF(DataTable[[#This Row],[Profit]]/DataTable[[#This Row],[COGS]]*100&gt;20,"Achived","Not Achived")</f>
        <v>Not Achived</v>
      </c>
      <c r="P680" s="25">
        <f>DataTable[[#This Row],[Profit]]/DataTable[[#This Row],[COGS]]</f>
        <v>0.08</v>
      </c>
      <c r="Q680">
        <f>DataTable[[#This Row],[Manufacturing Price]]*DataTable[[#This Row],[Units Sold]]</f>
        <v>221780</v>
      </c>
      <c r="R680" s="26">
        <f>DataTable[[#This Row],[COGS]]-DataTable[[#This Row],[MC_US]]</f>
        <v>-8530</v>
      </c>
      <c r="S680" s="26">
        <f>IF(DataTable[[#This Row],[COGS-MC_US]]&gt;=0,DataTable[[#This Row],[Manufacturing Price]],DataTable[[#This Row],[COGS]]/DataTable[[#This Row],[Units Sold]])</f>
        <v>250</v>
      </c>
    </row>
    <row r="681" spans="1:19" ht="12.75" x14ac:dyDescent="0.2">
      <c r="A681" s="20">
        <v>41730</v>
      </c>
      <c r="B681" t="s">
        <v>391</v>
      </c>
      <c r="C681" t="s">
        <v>394</v>
      </c>
      <c r="D681" t="s">
        <v>304</v>
      </c>
      <c r="E681" t="str">
        <f>VLOOKUP(DataTable[[#This Row],[Country]],Market!B:C,2,FALSE)</f>
        <v>Europe</v>
      </c>
      <c r="F681" s="24">
        <v>5</v>
      </c>
      <c r="G681" s="24">
        <v>443250</v>
      </c>
      <c r="H681" s="24">
        <v>300</v>
      </c>
      <c r="I681" s="27">
        <v>1773</v>
      </c>
      <c r="J681" s="24">
        <v>531900</v>
      </c>
      <c r="K681" s="24">
        <v>63828</v>
      </c>
      <c r="L681" s="1" t="s">
        <v>158</v>
      </c>
      <c r="M681" s="24">
        <v>468072</v>
      </c>
      <c r="N681" s="24">
        <f t="shared" si="10"/>
        <v>24822</v>
      </c>
      <c r="O681" t="str">
        <f>IF(DataTable[[#This Row],[Profit]]/DataTable[[#This Row],[COGS]]*100&gt;20,"Achived","Not Achived")</f>
        <v>Not Achived</v>
      </c>
      <c r="P681" s="25">
        <f>DataTable[[#This Row],[Profit]]/DataTable[[#This Row],[COGS]]</f>
        <v>5.6000000000000001E-2</v>
      </c>
      <c r="Q681">
        <f>DataTable[[#This Row],[Manufacturing Price]]*DataTable[[#This Row],[Units Sold]]</f>
        <v>8865</v>
      </c>
      <c r="R681" s="26">
        <f>DataTable[[#This Row],[COGS]]-DataTable[[#This Row],[MC_US]]</f>
        <v>434385</v>
      </c>
      <c r="S681" s="26">
        <f>IF(DataTable[[#This Row],[COGS-MC_US]]&gt;=0,DataTable[[#This Row],[Manufacturing Price]],DataTable[[#This Row],[COGS]]/DataTable[[#This Row],[Units Sold]])</f>
        <v>5</v>
      </c>
    </row>
    <row r="682" spans="1:19" ht="12.75" x14ac:dyDescent="0.2">
      <c r="A682" s="20">
        <v>41609</v>
      </c>
      <c r="B682" t="s">
        <v>391</v>
      </c>
      <c r="C682" t="s">
        <v>394</v>
      </c>
      <c r="D682" t="s">
        <v>304</v>
      </c>
      <c r="E682" t="str">
        <f>VLOOKUP(DataTable[[#This Row],[Country]],Market!B:C,2,FALSE)</f>
        <v>Europe</v>
      </c>
      <c r="F682" s="24">
        <v>5</v>
      </c>
      <c r="G682" s="24">
        <v>296500</v>
      </c>
      <c r="H682" s="24">
        <v>300</v>
      </c>
      <c r="I682" s="27">
        <v>1186</v>
      </c>
      <c r="J682" s="24">
        <v>355800</v>
      </c>
      <c r="K682" s="24">
        <v>42696</v>
      </c>
      <c r="L682" s="1" t="s">
        <v>158</v>
      </c>
      <c r="M682" s="24">
        <v>313104</v>
      </c>
      <c r="N682" s="24">
        <f t="shared" si="10"/>
        <v>16604</v>
      </c>
      <c r="O682" t="str">
        <f>IF(DataTable[[#This Row],[Profit]]/DataTable[[#This Row],[COGS]]*100&gt;20,"Achived","Not Achived")</f>
        <v>Not Achived</v>
      </c>
      <c r="P682" s="25">
        <f>DataTable[[#This Row],[Profit]]/DataTable[[#This Row],[COGS]]</f>
        <v>5.6000000000000001E-2</v>
      </c>
      <c r="Q682">
        <f>DataTable[[#This Row],[Manufacturing Price]]*DataTable[[#This Row],[Units Sold]]</f>
        <v>5930</v>
      </c>
      <c r="R682" s="26">
        <f>DataTable[[#This Row],[COGS]]-DataTable[[#This Row],[MC_US]]</f>
        <v>290570</v>
      </c>
      <c r="S682" s="26">
        <f>IF(DataTable[[#This Row],[COGS-MC_US]]&gt;=0,DataTable[[#This Row],[Manufacturing Price]],DataTable[[#This Row],[COGS]]/DataTable[[#This Row],[Units Sold]])</f>
        <v>5</v>
      </c>
    </row>
    <row r="683" spans="1:19" ht="12.75" x14ac:dyDescent="0.2">
      <c r="A683" s="20">
        <v>41699</v>
      </c>
      <c r="B683" t="s">
        <v>398</v>
      </c>
      <c r="C683" t="s">
        <v>394</v>
      </c>
      <c r="D683" t="s">
        <v>304</v>
      </c>
      <c r="E683" t="str">
        <f>VLOOKUP(DataTable[[#This Row],[Country]],Market!B:C,2,FALSE)</f>
        <v>Europe</v>
      </c>
      <c r="F683" s="24">
        <v>260</v>
      </c>
      <c r="G683" s="24">
        <v>618750</v>
      </c>
      <c r="H683" s="24">
        <v>300</v>
      </c>
      <c r="I683" s="27">
        <v>2475</v>
      </c>
      <c r="J683" s="24">
        <v>742500</v>
      </c>
      <c r="K683" s="24">
        <v>111375</v>
      </c>
      <c r="L683" s="1" t="s">
        <v>158</v>
      </c>
      <c r="M683" s="24">
        <v>631125</v>
      </c>
      <c r="N683" s="24">
        <f t="shared" si="10"/>
        <v>12375</v>
      </c>
      <c r="O683" t="str">
        <f>IF(DataTable[[#This Row],[Profit]]/DataTable[[#This Row],[COGS]]*100&gt;20,"Achived","Not Achived")</f>
        <v>Not Achived</v>
      </c>
      <c r="P683" s="25">
        <f>DataTable[[#This Row],[Profit]]/DataTable[[#This Row],[COGS]]</f>
        <v>0.02</v>
      </c>
      <c r="Q683">
        <f>DataTable[[#This Row],[Manufacturing Price]]*DataTable[[#This Row],[Units Sold]]</f>
        <v>643500</v>
      </c>
      <c r="R683" s="26">
        <f>DataTable[[#This Row],[COGS]]-DataTable[[#This Row],[MC_US]]</f>
        <v>-24750</v>
      </c>
      <c r="S683" s="26">
        <f>IF(DataTable[[#This Row],[COGS-MC_US]]&gt;=0,DataTable[[#This Row],[Manufacturing Price]],DataTable[[#This Row],[COGS]]/DataTable[[#This Row],[Units Sold]])</f>
        <v>250</v>
      </c>
    </row>
    <row r="684" spans="1:19" ht="12.75" hidden="1" x14ac:dyDescent="0.2">
      <c r="A684" s="20">
        <v>41671</v>
      </c>
      <c r="B684" t="s">
        <v>397</v>
      </c>
      <c r="C684" t="s">
        <v>394</v>
      </c>
      <c r="D684" t="s">
        <v>341</v>
      </c>
      <c r="E684" t="str">
        <f>VLOOKUP(DataTable[[#This Row],[Country]],Market!B:C,2,FALSE)</f>
        <v>North America</v>
      </c>
      <c r="F684" s="24">
        <v>250</v>
      </c>
      <c r="G684" s="24">
        <v>500250</v>
      </c>
      <c r="H684" s="24">
        <v>300</v>
      </c>
      <c r="I684" s="27">
        <v>2001</v>
      </c>
      <c r="J684" s="24">
        <v>600300</v>
      </c>
      <c r="K684" s="24">
        <v>0</v>
      </c>
      <c r="L684" s="1" t="s">
        <v>12</v>
      </c>
      <c r="M684" s="24">
        <v>600300</v>
      </c>
      <c r="N684" s="24">
        <f t="shared" si="10"/>
        <v>100050</v>
      </c>
      <c r="O684" t="str">
        <f>IF(DataTable[[#This Row],[Profit]]/DataTable[[#This Row],[COGS]]*100&gt;20,"Achived","Not Achived")</f>
        <v>Not Achived</v>
      </c>
      <c r="P684" s="25">
        <f>DataTable[[#This Row],[Profit]]/DataTable[[#This Row],[COGS]]</f>
        <v>0.2</v>
      </c>
      <c r="Q684">
        <f>DataTable[[#This Row],[Manufacturing Price]]*DataTable[[#This Row],[Units Sold]]</f>
        <v>500250</v>
      </c>
      <c r="R684" s="26">
        <f>DataTable[[#This Row],[COGS]]-DataTable[[#This Row],[MC_US]]</f>
        <v>0</v>
      </c>
      <c r="S684" s="26">
        <f>IF(DataTable[[#This Row],[COGS-MC_US]]&gt;=0,DataTable[[#This Row],[Manufacturing Price]],DataTable[[#This Row],[COGS]]/DataTable[[#This Row],[Units Sold]])</f>
        <v>250</v>
      </c>
    </row>
    <row r="685" spans="1:19" ht="12.75" hidden="1" x14ac:dyDescent="0.2">
      <c r="A685" s="20">
        <v>41974</v>
      </c>
      <c r="B685" t="s">
        <v>395</v>
      </c>
      <c r="C685" t="s">
        <v>394</v>
      </c>
      <c r="D685" t="s">
        <v>341</v>
      </c>
      <c r="E685" t="str">
        <f>VLOOKUP(DataTable[[#This Row],[Country]],Market!B:C,2,FALSE)</f>
        <v>North America</v>
      </c>
      <c r="F685" s="24">
        <v>10</v>
      </c>
      <c r="G685" s="24">
        <v>479000</v>
      </c>
      <c r="H685" s="24">
        <v>300</v>
      </c>
      <c r="I685" s="27">
        <v>1916</v>
      </c>
      <c r="J685" s="24">
        <v>574800</v>
      </c>
      <c r="K685" s="24">
        <v>11496</v>
      </c>
      <c r="L685" s="1" t="s">
        <v>57</v>
      </c>
      <c r="M685" s="24">
        <v>563304</v>
      </c>
      <c r="N685" s="24">
        <f t="shared" si="10"/>
        <v>84304</v>
      </c>
      <c r="O685" t="str">
        <f>IF(DataTable[[#This Row],[Profit]]/DataTable[[#This Row],[COGS]]*100&gt;20,"Achived","Not Achived")</f>
        <v>Not Achived</v>
      </c>
      <c r="P685" s="25">
        <f>DataTable[[#This Row],[Profit]]/DataTable[[#This Row],[COGS]]</f>
        <v>0.17599999999999999</v>
      </c>
      <c r="Q685">
        <f>DataTable[[#This Row],[Manufacturing Price]]*DataTable[[#This Row],[Units Sold]]</f>
        <v>19160</v>
      </c>
      <c r="R685" s="26">
        <f>DataTable[[#This Row],[COGS]]-DataTable[[#This Row],[MC_US]]</f>
        <v>459840</v>
      </c>
      <c r="S685" s="26">
        <f>IF(DataTable[[#This Row],[COGS-MC_US]]&gt;=0,DataTable[[#This Row],[Manufacturing Price]],DataTable[[#This Row],[COGS]]/DataTable[[#This Row],[Units Sold]])</f>
        <v>10</v>
      </c>
    </row>
    <row r="686" spans="1:19" ht="12.75" hidden="1" x14ac:dyDescent="0.2">
      <c r="A686" s="20">
        <v>41974</v>
      </c>
      <c r="B686" t="s">
        <v>398</v>
      </c>
      <c r="C686" t="s">
        <v>394</v>
      </c>
      <c r="D686" t="s">
        <v>341</v>
      </c>
      <c r="E686" t="str">
        <f>VLOOKUP(DataTable[[#This Row],[Country]],Market!B:C,2,FALSE)</f>
        <v>North America</v>
      </c>
      <c r="F686" s="24">
        <v>260</v>
      </c>
      <c r="G686" s="24">
        <v>479000</v>
      </c>
      <c r="H686" s="24">
        <v>300</v>
      </c>
      <c r="I686" s="27">
        <v>1916</v>
      </c>
      <c r="J686" s="24">
        <v>574800</v>
      </c>
      <c r="K686" s="24">
        <v>11496</v>
      </c>
      <c r="L686" s="1" t="s">
        <v>57</v>
      </c>
      <c r="M686" s="24">
        <v>563304</v>
      </c>
      <c r="N686" s="24">
        <f t="shared" si="10"/>
        <v>84304</v>
      </c>
      <c r="O686" t="str">
        <f>IF(DataTable[[#This Row],[Profit]]/DataTable[[#This Row],[COGS]]*100&gt;20,"Achived","Not Achived")</f>
        <v>Not Achived</v>
      </c>
      <c r="P686" s="25">
        <f>DataTable[[#This Row],[Profit]]/DataTable[[#This Row],[COGS]]</f>
        <v>0.17599999999999999</v>
      </c>
      <c r="Q686">
        <f>DataTable[[#This Row],[Manufacturing Price]]*DataTable[[#This Row],[Units Sold]]</f>
        <v>498160</v>
      </c>
      <c r="R686" s="26">
        <f>DataTable[[#This Row],[COGS]]-DataTable[[#This Row],[MC_US]]</f>
        <v>-19160</v>
      </c>
      <c r="S686" s="26">
        <f>IF(DataTable[[#This Row],[COGS-MC_US]]&gt;=0,DataTable[[#This Row],[Manufacturing Price]],DataTable[[#This Row],[COGS]]/DataTable[[#This Row],[Units Sold]])</f>
        <v>250</v>
      </c>
    </row>
    <row r="687" spans="1:19" ht="12.75" hidden="1" x14ac:dyDescent="0.2">
      <c r="A687" s="20">
        <v>41852</v>
      </c>
      <c r="B687" t="s">
        <v>397</v>
      </c>
      <c r="C687" t="s">
        <v>394</v>
      </c>
      <c r="D687" t="s">
        <v>341</v>
      </c>
      <c r="E687" t="str">
        <f>VLOOKUP(DataTable[[#This Row],[Country]],Market!B:C,2,FALSE)</f>
        <v>North America</v>
      </c>
      <c r="F687" s="24">
        <v>250</v>
      </c>
      <c r="G687" s="24">
        <v>468500</v>
      </c>
      <c r="H687" s="24">
        <v>300</v>
      </c>
      <c r="I687" s="27">
        <v>1874</v>
      </c>
      <c r="J687" s="24">
        <v>562200</v>
      </c>
      <c r="K687" s="24">
        <v>16866</v>
      </c>
      <c r="L687" s="1" t="s">
        <v>57</v>
      </c>
      <c r="M687" s="24">
        <v>545334</v>
      </c>
      <c r="N687" s="24">
        <f t="shared" si="10"/>
        <v>76834</v>
      </c>
      <c r="O687" t="str">
        <f>IF(DataTable[[#This Row],[Profit]]/DataTable[[#This Row],[COGS]]*100&gt;20,"Achived","Not Achived")</f>
        <v>Not Achived</v>
      </c>
      <c r="P687" s="25">
        <f>DataTable[[#This Row],[Profit]]/DataTable[[#This Row],[COGS]]</f>
        <v>0.16400000000000001</v>
      </c>
      <c r="Q687">
        <f>DataTable[[#This Row],[Manufacturing Price]]*DataTable[[#This Row],[Units Sold]]</f>
        <v>468500</v>
      </c>
      <c r="R687" s="26">
        <f>DataTable[[#This Row],[COGS]]-DataTable[[#This Row],[MC_US]]</f>
        <v>0</v>
      </c>
      <c r="S687" s="26">
        <f>IF(DataTable[[#This Row],[COGS-MC_US]]&gt;=0,DataTable[[#This Row],[Manufacturing Price]],DataTable[[#This Row],[COGS]]/DataTable[[#This Row],[Units Sold]])</f>
        <v>250</v>
      </c>
    </row>
    <row r="688" spans="1:19" ht="12.75" hidden="1" x14ac:dyDescent="0.2">
      <c r="A688" s="20">
        <v>41609</v>
      </c>
      <c r="B688" t="s">
        <v>397</v>
      </c>
      <c r="C688" t="s">
        <v>394</v>
      </c>
      <c r="D688" t="s">
        <v>341</v>
      </c>
      <c r="E688" t="str">
        <f>VLOOKUP(DataTable[[#This Row],[Country]],Market!B:C,2,FALSE)</f>
        <v>North America</v>
      </c>
      <c r="F688" s="24">
        <v>250</v>
      </c>
      <c r="G688" s="24">
        <v>609000</v>
      </c>
      <c r="H688" s="24">
        <v>300</v>
      </c>
      <c r="I688" s="27">
        <v>2436</v>
      </c>
      <c r="J688" s="24">
        <v>730800</v>
      </c>
      <c r="K688" s="24">
        <v>43848</v>
      </c>
      <c r="L688" s="1" t="s">
        <v>124</v>
      </c>
      <c r="M688" s="24">
        <v>686952</v>
      </c>
      <c r="N688" s="24">
        <f t="shared" si="10"/>
        <v>77952</v>
      </c>
      <c r="O688" t="str">
        <f>IF(DataTable[[#This Row],[Profit]]/DataTable[[#This Row],[COGS]]*100&gt;20,"Achived","Not Achived")</f>
        <v>Not Achived</v>
      </c>
      <c r="P688" s="25">
        <f>DataTable[[#This Row],[Profit]]/DataTable[[#This Row],[COGS]]</f>
        <v>0.128</v>
      </c>
      <c r="Q688">
        <f>DataTable[[#This Row],[Manufacturing Price]]*DataTable[[#This Row],[Units Sold]]</f>
        <v>609000</v>
      </c>
      <c r="R688" s="26">
        <f>DataTable[[#This Row],[COGS]]-DataTable[[#This Row],[MC_US]]</f>
        <v>0</v>
      </c>
      <c r="S688" s="26">
        <f>IF(DataTable[[#This Row],[COGS-MC_US]]&gt;=0,DataTable[[#This Row],[Manufacturing Price]],DataTable[[#This Row],[COGS]]/DataTable[[#This Row],[Units Sold]])</f>
        <v>250</v>
      </c>
    </row>
    <row r="689" spans="1:19" ht="12.75" hidden="1" x14ac:dyDescent="0.2">
      <c r="A689" s="20">
        <v>41760</v>
      </c>
      <c r="B689" t="s">
        <v>395</v>
      </c>
      <c r="C689" t="s">
        <v>394</v>
      </c>
      <c r="D689" t="s">
        <v>341</v>
      </c>
      <c r="E689" t="str">
        <f>VLOOKUP(DataTable[[#This Row],[Country]],Market!B:C,2,FALSE)</f>
        <v>North America</v>
      </c>
      <c r="F689" s="24">
        <v>10</v>
      </c>
      <c r="G689" s="24">
        <v>425500</v>
      </c>
      <c r="H689" s="24">
        <v>300</v>
      </c>
      <c r="I689" s="27">
        <v>1702</v>
      </c>
      <c r="J689" s="24">
        <v>510600</v>
      </c>
      <c r="K689" s="24">
        <v>35742</v>
      </c>
      <c r="L689" s="1" t="s">
        <v>124</v>
      </c>
      <c r="M689" s="24">
        <v>474858</v>
      </c>
      <c r="N689" s="24">
        <f t="shared" si="10"/>
        <v>49358</v>
      </c>
      <c r="O689" t="str">
        <f>IF(DataTable[[#This Row],[Profit]]/DataTable[[#This Row],[COGS]]*100&gt;20,"Achived","Not Achived")</f>
        <v>Not Achived</v>
      </c>
      <c r="P689" s="25">
        <f>DataTable[[#This Row],[Profit]]/DataTable[[#This Row],[COGS]]</f>
        <v>0.11600000000000001</v>
      </c>
      <c r="Q689">
        <f>DataTable[[#This Row],[Manufacturing Price]]*DataTable[[#This Row],[Units Sold]]</f>
        <v>17020</v>
      </c>
      <c r="R689" s="26">
        <f>DataTable[[#This Row],[COGS]]-DataTable[[#This Row],[MC_US]]</f>
        <v>408480</v>
      </c>
      <c r="S689" s="26">
        <f>IF(DataTable[[#This Row],[COGS-MC_US]]&gt;=0,DataTable[[#This Row],[Manufacturing Price]],DataTable[[#This Row],[COGS]]/DataTable[[#This Row],[Units Sold]])</f>
        <v>10</v>
      </c>
    </row>
    <row r="690" spans="1:19" ht="12.75" hidden="1" x14ac:dyDescent="0.2">
      <c r="A690" s="20">
        <v>41579</v>
      </c>
      <c r="B690" t="s">
        <v>395</v>
      </c>
      <c r="C690" t="s">
        <v>394</v>
      </c>
      <c r="D690" t="s">
        <v>341</v>
      </c>
      <c r="E690" t="str">
        <f>VLOOKUP(DataTable[[#This Row],[Country]],Market!B:C,2,FALSE)</f>
        <v>North America</v>
      </c>
      <c r="F690" s="24">
        <v>10</v>
      </c>
      <c r="G690" s="24">
        <v>351000</v>
      </c>
      <c r="H690" s="24">
        <v>300</v>
      </c>
      <c r="I690" s="27">
        <v>1404</v>
      </c>
      <c r="J690" s="24">
        <v>421200</v>
      </c>
      <c r="K690" s="24">
        <v>29484</v>
      </c>
      <c r="L690" s="1" t="s">
        <v>124</v>
      </c>
      <c r="M690" s="24">
        <v>391716</v>
      </c>
      <c r="N690" s="24">
        <f t="shared" si="10"/>
        <v>40716</v>
      </c>
      <c r="O690" t="str">
        <f>IF(DataTable[[#This Row],[Profit]]/DataTable[[#This Row],[COGS]]*100&gt;20,"Achived","Not Achived")</f>
        <v>Not Achived</v>
      </c>
      <c r="P690" s="25">
        <f>DataTable[[#This Row],[Profit]]/DataTable[[#This Row],[COGS]]</f>
        <v>0.11600000000000001</v>
      </c>
      <c r="Q690">
        <f>DataTable[[#This Row],[Manufacturing Price]]*DataTable[[#This Row],[Units Sold]]</f>
        <v>14040</v>
      </c>
      <c r="R690" s="26">
        <f>DataTable[[#This Row],[COGS]]-DataTable[[#This Row],[MC_US]]</f>
        <v>336960</v>
      </c>
      <c r="S690" s="26">
        <f>IF(DataTable[[#This Row],[COGS-MC_US]]&gt;=0,DataTable[[#This Row],[Manufacturing Price]],DataTable[[#This Row],[COGS]]/DataTable[[#This Row],[Units Sold]])</f>
        <v>10</v>
      </c>
    </row>
    <row r="691" spans="1:19" ht="12.75" hidden="1" x14ac:dyDescent="0.2">
      <c r="A691" s="20">
        <v>41518</v>
      </c>
      <c r="B691" t="s">
        <v>391</v>
      </c>
      <c r="C691" t="s">
        <v>394</v>
      </c>
      <c r="D691" t="s">
        <v>341</v>
      </c>
      <c r="E691" t="str">
        <f>VLOOKUP(DataTable[[#This Row],[Country]],Market!B:C,2,FALSE)</f>
        <v>North America</v>
      </c>
      <c r="F691" s="24">
        <v>5</v>
      </c>
      <c r="G691" s="24">
        <v>320750</v>
      </c>
      <c r="H691" s="24">
        <v>300</v>
      </c>
      <c r="I691" s="27">
        <v>1283</v>
      </c>
      <c r="J691" s="24">
        <v>384900</v>
      </c>
      <c r="K691" s="24">
        <v>30792</v>
      </c>
      <c r="L691" s="1" t="s">
        <v>124</v>
      </c>
      <c r="M691" s="24">
        <v>354108</v>
      </c>
      <c r="N691" s="24">
        <f t="shared" si="10"/>
        <v>33358</v>
      </c>
      <c r="O691" t="str">
        <f>IF(DataTable[[#This Row],[Profit]]/DataTable[[#This Row],[COGS]]*100&gt;20,"Achived","Not Achived")</f>
        <v>Not Achived</v>
      </c>
      <c r="P691" s="25">
        <f>DataTable[[#This Row],[Profit]]/DataTable[[#This Row],[COGS]]</f>
        <v>0.104</v>
      </c>
      <c r="Q691">
        <f>DataTable[[#This Row],[Manufacturing Price]]*DataTable[[#This Row],[Units Sold]]</f>
        <v>6415</v>
      </c>
      <c r="R691" s="26">
        <f>DataTable[[#This Row],[COGS]]-DataTable[[#This Row],[MC_US]]</f>
        <v>314335</v>
      </c>
      <c r="S691" s="26">
        <f>IF(DataTable[[#This Row],[COGS-MC_US]]&gt;=0,DataTable[[#This Row],[Manufacturing Price]],DataTable[[#This Row],[COGS]]/DataTable[[#This Row],[Units Sold]])</f>
        <v>5</v>
      </c>
    </row>
    <row r="692" spans="1:19" ht="12.75" hidden="1" x14ac:dyDescent="0.2">
      <c r="A692" s="20">
        <v>41883</v>
      </c>
      <c r="B692" t="s">
        <v>397</v>
      </c>
      <c r="C692" t="s">
        <v>394</v>
      </c>
      <c r="D692" t="s">
        <v>341</v>
      </c>
      <c r="E692" t="str">
        <f>VLOOKUP(DataTable[[#This Row],[Country]],Market!B:C,2,FALSE)</f>
        <v>North America</v>
      </c>
      <c r="F692" s="24">
        <v>250</v>
      </c>
      <c r="G692" s="24">
        <v>533500</v>
      </c>
      <c r="H692" s="24">
        <v>300</v>
      </c>
      <c r="I692" s="27">
        <v>2134</v>
      </c>
      <c r="J692" s="24">
        <v>640200</v>
      </c>
      <c r="K692" s="24">
        <v>51216</v>
      </c>
      <c r="L692" s="1" t="s">
        <v>124</v>
      </c>
      <c r="M692" s="24">
        <v>588984</v>
      </c>
      <c r="N692" s="24">
        <f t="shared" si="10"/>
        <v>55484</v>
      </c>
      <c r="O692" t="str">
        <f>IF(DataTable[[#This Row],[Profit]]/DataTable[[#This Row],[COGS]]*100&gt;20,"Achived","Not Achived")</f>
        <v>Not Achived</v>
      </c>
      <c r="P692" s="25">
        <f>DataTable[[#This Row],[Profit]]/DataTable[[#This Row],[COGS]]</f>
        <v>0.104</v>
      </c>
      <c r="Q692">
        <f>DataTable[[#This Row],[Manufacturing Price]]*DataTable[[#This Row],[Units Sold]]</f>
        <v>533500</v>
      </c>
      <c r="R692" s="26">
        <f>DataTable[[#This Row],[COGS]]-DataTable[[#This Row],[MC_US]]</f>
        <v>0</v>
      </c>
      <c r="S692" s="26">
        <f>IF(DataTable[[#This Row],[COGS-MC_US]]&gt;=0,DataTable[[#This Row],[Manufacturing Price]],DataTable[[#This Row],[COGS]]/DataTable[[#This Row],[Units Sold]])</f>
        <v>250</v>
      </c>
    </row>
    <row r="693" spans="1:19" ht="12.75" hidden="1" x14ac:dyDescent="0.2">
      <c r="A693" s="20">
        <v>41791</v>
      </c>
      <c r="B693" t="s">
        <v>389</v>
      </c>
      <c r="C693" t="s">
        <v>394</v>
      </c>
      <c r="D693" t="s">
        <v>341</v>
      </c>
      <c r="E693" t="str">
        <f>VLOOKUP(DataTable[[#This Row],[Country]],Market!B:C,2,FALSE)</f>
        <v>North America</v>
      </c>
      <c r="F693" s="24">
        <v>3</v>
      </c>
      <c r="G693" s="24">
        <v>273500</v>
      </c>
      <c r="H693" s="24">
        <v>300</v>
      </c>
      <c r="I693" s="27">
        <v>1094</v>
      </c>
      <c r="J693" s="24">
        <v>328200</v>
      </c>
      <c r="K693" s="24">
        <v>29538</v>
      </c>
      <c r="L693" s="1" t="s">
        <v>124</v>
      </c>
      <c r="M693" s="24">
        <v>298662</v>
      </c>
      <c r="N693" s="24">
        <f t="shared" si="10"/>
        <v>25162</v>
      </c>
      <c r="O693" t="str">
        <f>IF(DataTable[[#This Row],[Profit]]/DataTable[[#This Row],[COGS]]*100&gt;20,"Achived","Not Achived")</f>
        <v>Not Achived</v>
      </c>
      <c r="P693" s="25">
        <f>DataTable[[#This Row],[Profit]]/DataTable[[#This Row],[COGS]]</f>
        <v>9.1999999999999998E-2</v>
      </c>
      <c r="Q693">
        <f>DataTable[[#This Row],[Manufacturing Price]]*DataTable[[#This Row],[Units Sold]]</f>
        <v>3282</v>
      </c>
      <c r="R693" s="26">
        <f>DataTable[[#This Row],[COGS]]-DataTable[[#This Row],[MC_US]]</f>
        <v>270218</v>
      </c>
      <c r="S693" s="26">
        <f>IF(DataTable[[#This Row],[COGS-MC_US]]&gt;=0,DataTable[[#This Row],[Manufacturing Price]],DataTable[[#This Row],[COGS]]/DataTable[[#This Row],[Units Sold]])</f>
        <v>3</v>
      </c>
    </row>
    <row r="694" spans="1:19" ht="12.75" hidden="1" x14ac:dyDescent="0.2">
      <c r="A694" s="20">
        <v>41730</v>
      </c>
      <c r="B694" t="s">
        <v>391</v>
      </c>
      <c r="C694" t="s">
        <v>394</v>
      </c>
      <c r="D694" t="s">
        <v>341</v>
      </c>
      <c r="E694" t="str">
        <f>VLOOKUP(DataTable[[#This Row],[Country]],Market!B:C,2,FALSE)</f>
        <v>North America</v>
      </c>
      <c r="F694" s="24">
        <v>5</v>
      </c>
      <c r="G694" s="24">
        <v>950625</v>
      </c>
      <c r="H694" s="24">
        <v>300</v>
      </c>
      <c r="I694" s="27">
        <v>3802.5</v>
      </c>
      <c r="J694" s="24">
        <v>1140750</v>
      </c>
      <c r="K694" s="24">
        <v>102667.5</v>
      </c>
      <c r="L694" s="1" t="s">
        <v>124</v>
      </c>
      <c r="M694" s="24">
        <v>1038082.5</v>
      </c>
      <c r="N694" s="24">
        <f t="shared" si="10"/>
        <v>87457.5</v>
      </c>
      <c r="O694" t="str">
        <f>IF(DataTable[[#This Row],[Profit]]/DataTable[[#This Row],[COGS]]*100&gt;20,"Achived","Not Achived")</f>
        <v>Not Achived</v>
      </c>
      <c r="P694" s="25">
        <f>DataTable[[#This Row],[Profit]]/DataTable[[#This Row],[COGS]]</f>
        <v>9.1999999999999998E-2</v>
      </c>
      <c r="Q694">
        <f>DataTable[[#This Row],[Manufacturing Price]]*DataTable[[#This Row],[Units Sold]]</f>
        <v>19012.5</v>
      </c>
      <c r="R694" s="26">
        <f>DataTable[[#This Row],[COGS]]-DataTable[[#This Row],[MC_US]]</f>
        <v>931612.5</v>
      </c>
      <c r="S694" s="26">
        <f>IF(DataTable[[#This Row],[COGS-MC_US]]&gt;=0,DataTable[[#This Row],[Manufacturing Price]],DataTable[[#This Row],[COGS]]/DataTable[[#This Row],[Units Sold]])</f>
        <v>5</v>
      </c>
    </row>
    <row r="695" spans="1:19" ht="12.75" hidden="1" x14ac:dyDescent="0.2">
      <c r="A695" s="20">
        <v>41791</v>
      </c>
      <c r="B695" t="s">
        <v>395</v>
      </c>
      <c r="C695" t="s">
        <v>394</v>
      </c>
      <c r="D695" t="s">
        <v>341</v>
      </c>
      <c r="E695" t="str">
        <f>VLOOKUP(DataTable[[#This Row],[Country]],Market!B:C,2,FALSE)</f>
        <v>North America</v>
      </c>
      <c r="F695" s="24">
        <v>10</v>
      </c>
      <c r="G695" s="24">
        <v>273500</v>
      </c>
      <c r="H695" s="24">
        <v>300</v>
      </c>
      <c r="I695" s="27">
        <v>1094</v>
      </c>
      <c r="J695" s="24">
        <v>328200</v>
      </c>
      <c r="K695" s="24">
        <v>29538</v>
      </c>
      <c r="L695" s="1" t="s">
        <v>124</v>
      </c>
      <c r="M695" s="24">
        <v>298662</v>
      </c>
      <c r="N695" s="24">
        <f t="shared" si="10"/>
        <v>25162</v>
      </c>
      <c r="O695" t="str">
        <f>IF(DataTable[[#This Row],[Profit]]/DataTable[[#This Row],[COGS]]*100&gt;20,"Achived","Not Achived")</f>
        <v>Not Achived</v>
      </c>
      <c r="P695" s="25">
        <f>DataTable[[#This Row],[Profit]]/DataTable[[#This Row],[COGS]]</f>
        <v>9.1999999999999998E-2</v>
      </c>
      <c r="Q695">
        <f>DataTable[[#This Row],[Manufacturing Price]]*DataTable[[#This Row],[Units Sold]]</f>
        <v>10940</v>
      </c>
      <c r="R695" s="26">
        <f>DataTable[[#This Row],[COGS]]-DataTable[[#This Row],[MC_US]]</f>
        <v>262560</v>
      </c>
      <c r="S695" s="26">
        <f>IF(DataTable[[#This Row],[COGS-MC_US]]&gt;=0,DataTable[[#This Row],[Manufacturing Price]],DataTable[[#This Row],[COGS]]/DataTable[[#This Row],[Units Sold]])</f>
        <v>10</v>
      </c>
    </row>
    <row r="696" spans="1:19" ht="12.75" hidden="1" x14ac:dyDescent="0.2">
      <c r="A696" s="20">
        <v>41821</v>
      </c>
      <c r="B696" t="s">
        <v>396</v>
      </c>
      <c r="C696" t="s">
        <v>394</v>
      </c>
      <c r="D696" t="s">
        <v>341</v>
      </c>
      <c r="E696" t="str">
        <f>VLOOKUP(DataTable[[#This Row],[Country]],Market!B:C,2,FALSE)</f>
        <v>North America</v>
      </c>
      <c r="F696" s="24">
        <v>120</v>
      </c>
      <c r="G696" s="24">
        <v>948375</v>
      </c>
      <c r="H696" s="24">
        <v>300</v>
      </c>
      <c r="I696" s="27">
        <v>3793.5</v>
      </c>
      <c r="J696" s="24">
        <v>1138050</v>
      </c>
      <c r="K696" s="24">
        <v>102424.5</v>
      </c>
      <c r="L696" s="1" t="s">
        <v>124</v>
      </c>
      <c r="M696" s="24">
        <v>1035625.5</v>
      </c>
      <c r="N696" s="24">
        <f t="shared" si="10"/>
        <v>87250.5</v>
      </c>
      <c r="O696" t="str">
        <f>IF(DataTable[[#This Row],[Profit]]/DataTable[[#This Row],[COGS]]*100&gt;20,"Achived","Not Achived")</f>
        <v>Not Achived</v>
      </c>
      <c r="P696" s="25">
        <f>DataTable[[#This Row],[Profit]]/DataTable[[#This Row],[COGS]]</f>
        <v>9.1999999999999998E-2</v>
      </c>
      <c r="Q696">
        <f>DataTable[[#This Row],[Manufacturing Price]]*DataTable[[#This Row],[Units Sold]]</f>
        <v>455220</v>
      </c>
      <c r="R696" s="26">
        <f>DataTable[[#This Row],[COGS]]-DataTable[[#This Row],[MC_US]]</f>
        <v>493155</v>
      </c>
      <c r="S696" s="26">
        <f>IF(DataTable[[#This Row],[COGS-MC_US]]&gt;=0,DataTable[[#This Row],[Manufacturing Price]],DataTable[[#This Row],[COGS]]/DataTable[[#This Row],[Units Sold]])</f>
        <v>120</v>
      </c>
    </row>
    <row r="697" spans="1:19" ht="12.75" x14ac:dyDescent="0.2">
      <c r="A697" s="20">
        <v>41640</v>
      </c>
      <c r="B697" t="s">
        <v>395</v>
      </c>
      <c r="C697" t="s">
        <v>394</v>
      </c>
      <c r="D697" t="s">
        <v>341</v>
      </c>
      <c r="E697" t="str">
        <f>VLOOKUP(DataTable[[#This Row],[Country]],Market!B:C,2,FALSE)</f>
        <v>North America</v>
      </c>
      <c r="F697" s="24">
        <v>10</v>
      </c>
      <c r="G697" s="24">
        <v>218250</v>
      </c>
      <c r="H697" s="24">
        <v>300</v>
      </c>
      <c r="I697" s="27">
        <v>873</v>
      </c>
      <c r="J697" s="24">
        <v>261900</v>
      </c>
      <c r="K697" s="24">
        <v>28809</v>
      </c>
      <c r="L697" s="1" t="s">
        <v>158</v>
      </c>
      <c r="M697" s="24">
        <v>233091</v>
      </c>
      <c r="N697" s="24">
        <f t="shared" si="10"/>
        <v>14841</v>
      </c>
      <c r="O697" t="str">
        <f>IF(DataTable[[#This Row],[Profit]]/DataTable[[#This Row],[COGS]]*100&gt;20,"Achived","Not Achived")</f>
        <v>Not Achived</v>
      </c>
      <c r="P697" s="25">
        <f>DataTable[[#This Row],[Profit]]/DataTable[[#This Row],[COGS]]</f>
        <v>6.8000000000000005E-2</v>
      </c>
      <c r="Q697">
        <f>DataTable[[#This Row],[Manufacturing Price]]*DataTable[[#This Row],[Units Sold]]</f>
        <v>8730</v>
      </c>
      <c r="R697" s="26">
        <f>DataTable[[#This Row],[COGS]]-DataTable[[#This Row],[MC_US]]</f>
        <v>209520</v>
      </c>
      <c r="S697" s="26">
        <f>IF(DataTable[[#This Row],[COGS-MC_US]]&gt;=0,DataTable[[#This Row],[Manufacturing Price]],DataTable[[#This Row],[COGS]]/DataTable[[#This Row],[Units Sold]])</f>
        <v>10</v>
      </c>
    </row>
    <row r="698" spans="1:19" ht="12.75" x14ac:dyDescent="0.2">
      <c r="A698" s="20">
        <v>41944</v>
      </c>
      <c r="B698" t="s">
        <v>395</v>
      </c>
      <c r="C698" t="s">
        <v>394</v>
      </c>
      <c r="D698" t="s">
        <v>341</v>
      </c>
      <c r="E698" t="str">
        <f>VLOOKUP(DataTable[[#This Row],[Country]],Market!B:C,2,FALSE)</f>
        <v>North America</v>
      </c>
      <c r="F698" s="24">
        <v>10</v>
      </c>
      <c r="G698" s="24">
        <v>341500</v>
      </c>
      <c r="H698" s="24">
        <v>300</v>
      </c>
      <c r="I698" s="27">
        <v>1366</v>
      </c>
      <c r="J698" s="24">
        <v>409800</v>
      </c>
      <c r="K698" s="24">
        <v>45078</v>
      </c>
      <c r="L698" s="1" t="s">
        <v>158</v>
      </c>
      <c r="M698" s="24">
        <v>364722</v>
      </c>
      <c r="N698" s="24">
        <f t="shared" si="10"/>
        <v>23222</v>
      </c>
      <c r="O698" t="str">
        <f>IF(DataTable[[#This Row],[Profit]]/DataTable[[#This Row],[COGS]]*100&gt;20,"Achived","Not Achived")</f>
        <v>Not Achived</v>
      </c>
      <c r="P698" s="25">
        <f>DataTable[[#This Row],[Profit]]/DataTable[[#This Row],[COGS]]</f>
        <v>6.8000000000000005E-2</v>
      </c>
      <c r="Q698">
        <f>DataTable[[#This Row],[Manufacturing Price]]*DataTable[[#This Row],[Units Sold]]</f>
        <v>13660</v>
      </c>
      <c r="R698" s="26">
        <f>DataTable[[#This Row],[COGS]]-DataTable[[#This Row],[MC_US]]</f>
        <v>327840</v>
      </c>
      <c r="S698" s="26">
        <f>IF(DataTable[[#This Row],[COGS-MC_US]]&gt;=0,DataTable[[#This Row],[Manufacturing Price]],DataTable[[#This Row],[COGS]]/DataTable[[#This Row],[Units Sold]])</f>
        <v>10</v>
      </c>
    </row>
    <row r="699" spans="1:19" ht="12.75" x14ac:dyDescent="0.2">
      <c r="A699" s="20">
        <v>41913</v>
      </c>
      <c r="B699" t="s">
        <v>389</v>
      </c>
      <c r="C699" t="s">
        <v>394</v>
      </c>
      <c r="D699" t="s">
        <v>341</v>
      </c>
      <c r="E699" t="str">
        <f>VLOOKUP(DataTable[[#This Row],[Country]],Market!B:C,2,FALSE)</f>
        <v>North America</v>
      </c>
      <c r="F699" s="24">
        <v>3</v>
      </c>
      <c r="G699" s="24">
        <v>374000</v>
      </c>
      <c r="H699" s="24">
        <v>300</v>
      </c>
      <c r="I699" s="27">
        <v>1496</v>
      </c>
      <c r="J699" s="24">
        <v>448800</v>
      </c>
      <c r="K699" s="24">
        <v>62832</v>
      </c>
      <c r="L699" s="1" t="s">
        <v>158</v>
      </c>
      <c r="M699" s="24">
        <v>385968</v>
      </c>
      <c r="N699" s="24">
        <f t="shared" si="10"/>
        <v>11968</v>
      </c>
      <c r="O699" t="str">
        <f>IF(DataTable[[#This Row],[Profit]]/DataTable[[#This Row],[COGS]]*100&gt;20,"Achived","Not Achived")</f>
        <v>Not Achived</v>
      </c>
      <c r="P699" s="25">
        <f>DataTable[[#This Row],[Profit]]/DataTable[[#This Row],[COGS]]</f>
        <v>3.2000000000000001E-2</v>
      </c>
      <c r="Q699">
        <f>DataTable[[#This Row],[Manufacturing Price]]*DataTable[[#This Row],[Units Sold]]</f>
        <v>4488</v>
      </c>
      <c r="R699" s="26">
        <f>DataTable[[#This Row],[COGS]]-DataTable[[#This Row],[MC_US]]</f>
        <v>369512</v>
      </c>
      <c r="S699" s="26">
        <f>IF(DataTable[[#This Row],[COGS-MC_US]]&gt;=0,DataTable[[#This Row],[Manufacturing Price]],DataTable[[#This Row],[COGS]]/DataTable[[#This Row],[Units Sold]])</f>
        <v>3</v>
      </c>
    </row>
    <row r="700" spans="1:19" ht="12.75" x14ac:dyDescent="0.2">
      <c r="A700" s="20">
        <v>41548</v>
      </c>
      <c r="B700" t="s">
        <v>396</v>
      </c>
      <c r="C700" t="s">
        <v>394</v>
      </c>
      <c r="D700" t="s">
        <v>341</v>
      </c>
      <c r="E700" t="str">
        <f>VLOOKUP(DataTable[[#This Row],[Country]],Market!B:C,2,FALSE)</f>
        <v>North America</v>
      </c>
      <c r="F700" s="24">
        <v>120</v>
      </c>
      <c r="G700" s="24">
        <v>67250</v>
      </c>
      <c r="H700" s="24">
        <v>300</v>
      </c>
      <c r="I700" s="27">
        <v>269</v>
      </c>
      <c r="J700" s="24">
        <v>80700</v>
      </c>
      <c r="K700" s="24">
        <v>11298</v>
      </c>
      <c r="L700" s="1" t="s">
        <v>158</v>
      </c>
      <c r="M700" s="24">
        <v>69402</v>
      </c>
      <c r="N700" s="24">
        <f t="shared" si="10"/>
        <v>2152</v>
      </c>
      <c r="O700" t="str">
        <f>IF(DataTable[[#This Row],[Profit]]/DataTable[[#This Row],[COGS]]*100&gt;20,"Achived","Not Achived")</f>
        <v>Not Achived</v>
      </c>
      <c r="P700" s="25">
        <f>DataTable[[#This Row],[Profit]]/DataTable[[#This Row],[COGS]]</f>
        <v>3.2000000000000001E-2</v>
      </c>
      <c r="Q700">
        <f>DataTable[[#This Row],[Manufacturing Price]]*DataTable[[#This Row],[Units Sold]]</f>
        <v>32280</v>
      </c>
      <c r="R700" s="26">
        <f>DataTable[[#This Row],[COGS]]-DataTable[[#This Row],[MC_US]]</f>
        <v>34970</v>
      </c>
      <c r="S700" s="26">
        <f>IF(DataTable[[#This Row],[COGS-MC_US]]&gt;=0,DataTable[[#This Row],[Manufacturing Price]],DataTable[[#This Row],[COGS]]/DataTable[[#This Row],[Units Sold]])</f>
        <v>120</v>
      </c>
    </row>
    <row r="701" spans="1:19" ht="12.75" x14ac:dyDescent="0.2">
      <c r="A701" s="20">
        <v>41548</v>
      </c>
      <c r="B701" t="s">
        <v>397</v>
      </c>
      <c r="C701" t="s">
        <v>394</v>
      </c>
      <c r="D701" t="s">
        <v>341</v>
      </c>
      <c r="E701" t="str">
        <f>VLOOKUP(DataTable[[#This Row],[Country]],Market!B:C,2,FALSE)</f>
        <v>North America</v>
      </c>
      <c r="F701" s="24">
        <v>250</v>
      </c>
      <c r="G701" s="24">
        <v>67250</v>
      </c>
      <c r="H701" s="24">
        <v>300</v>
      </c>
      <c r="I701" s="27">
        <v>269</v>
      </c>
      <c r="J701" s="24">
        <v>80700</v>
      </c>
      <c r="K701" s="24">
        <v>11298</v>
      </c>
      <c r="L701" s="1" t="s">
        <v>158</v>
      </c>
      <c r="M701" s="24">
        <v>69402</v>
      </c>
      <c r="N701" s="24">
        <f t="shared" si="10"/>
        <v>2152</v>
      </c>
      <c r="O701" t="str">
        <f>IF(DataTable[[#This Row],[Profit]]/DataTable[[#This Row],[COGS]]*100&gt;20,"Achived","Not Achived")</f>
        <v>Not Achived</v>
      </c>
      <c r="P701" s="25">
        <f>DataTable[[#This Row],[Profit]]/DataTable[[#This Row],[COGS]]</f>
        <v>3.2000000000000001E-2</v>
      </c>
      <c r="Q701">
        <f>DataTable[[#This Row],[Manufacturing Price]]*DataTable[[#This Row],[Units Sold]]</f>
        <v>67250</v>
      </c>
      <c r="R701" s="26">
        <f>DataTable[[#This Row],[COGS]]-DataTable[[#This Row],[MC_US]]</f>
        <v>0</v>
      </c>
      <c r="S701" s="26">
        <f>IF(DataTable[[#This Row],[COGS-MC_US]]&gt;=0,DataTable[[#This Row],[Manufacturing Price]],DataTable[[#This Row],[COGS]]/DataTable[[#This Row],[Units Sold]])</f>
        <v>250</v>
      </c>
    </row>
    <row r="702" spans="1:19" ht="12.75" x14ac:dyDescent="0.2">
      <c r="A702" s="20">
        <v>41913</v>
      </c>
      <c r="B702" t="s">
        <v>397</v>
      </c>
      <c r="C702" t="s">
        <v>394</v>
      </c>
      <c r="D702" t="s">
        <v>341</v>
      </c>
      <c r="E702" t="str">
        <f>VLOOKUP(DataTable[[#This Row],[Country]],Market!B:C,2,FALSE)</f>
        <v>North America</v>
      </c>
      <c r="F702" s="24">
        <v>250</v>
      </c>
      <c r="G702" s="24">
        <v>374000</v>
      </c>
      <c r="H702" s="24">
        <v>300</v>
      </c>
      <c r="I702" s="27">
        <v>1496</v>
      </c>
      <c r="J702" s="24">
        <v>448800</v>
      </c>
      <c r="K702" s="24">
        <v>62832</v>
      </c>
      <c r="L702" s="1" t="s">
        <v>158</v>
      </c>
      <c r="M702" s="24">
        <v>385968</v>
      </c>
      <c r="N702" s="24">
        <f t="shared" si="10"/>
        <v>11968</v>
      </c>
      <c r="O702" t="str">
        <f>IF(DataTable[[#This Row],[Profit]]/DataTable[[#This Row],[COGS]]*100&gt;20,"Achived","Not Achived")</f>
        <v>Not Achived</v>
      </c>
      <c r="P702" s="25">
        <f>DataTable[[#This Row],[Profit]]/DataTable[[#This Row],[COGS]]</f>
        <v>3.2000000000000001E-2</v>
      </c>
      <c r="Q702">
        <f>DataTable[[#This Row],[Manufacturing Price]]*DataTable[[#This Row],[Units Sold]]</f>
        <v>374000</v>
      </c>
      <c r="R702" s="26">
        <f>DataTable[[#This Row],[COGS]]-DataTable[[#This Row],[MC_US]]</f>
        <v>0</v>
      </c>
      <c r="S702" s="26">
        <f>IF(DataTable[[#This Row],[COGS-MC_US]]&gt;=0,DataTable[[#This Row],[Manufacturing Price]],DataTable[[#This Row],[COGS]]/DataTable[[#This Row],[Units Sold]])</f>
        <v>250</v>
      </c>
    </row>
    <row r="703" spans="1:19" ht="12.75" x14ac:dyDescent="0.2">
      <c r="A703" s="20">
        <v>41699</v>
      </c>
      <c r="B703" t="s">
        <v>398</v>
      </c>
      <c r="C703" t="s">
        <v>394</v>
      </c>
      <c r="D703" t="s">
        <v>341</v>
      </c>
      <c r="E703" t="str">
        <f>VLOOKUP(DataTable[[#This Row],[Country]],Market!B:C,2,FALSE)</f>
        <v>North America</v>
      </c>
      <c r="F703" s="24">
        <v>260</v>
      </c>
      <c r="G703" s="24">
        <v>222000</v>
      </c>
      <c r="H703" s="24">
        <v>300</v>
      </c>
      <c r="I703" s="27">
        <v>888</v>
      </c>
      <c r="J703" s="24">
        <v>266400</v>
      </c>
      <c r="K703" s="24">
        <v>37296</v>
      </c>
      <c r="L703" s="1" t="s">
        <v>158</v>
      </c>
      <c r="M703" s="24">
        <v>229104</v>
      </c>
      <c r="N703" s="24">
        <f t="shared" si="10"/>
        <v>7104</v>
      </c>
      <c r="O703" t="str">
        <f>IF(DataTable[[#This Row],[Profit]]/DataTable[[#This Row],[COGS]]*100&gt;20,"Achived","Not Achived")</f>
        <v>Not Achived</v>
      </c>
      <c r="P703" s="25">
        <f>DataTable[[#This Row],[Profit]]/DataTable[[#This Row],[COGS]]</f>
        <v>3.2000000000000001E-2</v>
      </c>
      <c r="Q703">
        <f>DataTable[[#This Row],[Manufacturing Price]]*DataTable[[#This Row],[Units Sold]]</f>
        <v>230880</v>
      </c>
      <c r="R703" s="26">
        <f>DataTable[[#This Row],[COGS]]-DataTable[[#This Row],[MC_US]]</f>
        <v>-8880</v>
      </c>
      <c r="S703" s="26">
        <f>IF(DataTable[[#This Row],[COGS-MC_US]]&gt;=0,DataTable[[#This Row],[Manufacturing Price]],DataTable[[#This Row],[COGS]]/DataTable[[#This Row],[Units Sold]])</f>
        <v>250</v>
      </c>
    </row>
    <row r="704" spans="1:19" ht="12.75" x14ac:dyDescent="0.2">
      <c r="I704" s="4"/>
      <c r="J704" s="4"/>
      <c r="L704" s="4"/>
      <c r="M704" s="5"/>
      <c r="O704" s="4"/>
    </row>
    <row r="705" spans="9:15" ht="12.75" x14ac:dyDescent="0.2">
      <c r="I705" s="4"/>
      <c r="J705" s="4"/>
      <c r="L705" s="4"/>
      <c r="M705" s="5"/>
      <c r="O705" s="4"/>
    </row>
    <row r="706" spans="9:15" ht="12.75" x14ac:dyDescent="0.2">
      <c r="I706" s="4"/>
      <c r="J706" s="4"/>
      <c r="L706" s="4"/>
      <c r="M706" s="5"/>
      <c r="O706" s="4"/>
    </row>
    <row r="707" spans="9:15" ht="12.75" x14ac:dyDescent="0.2">
      <c r="I707" s="4"/>
      <c r="J707" s="4"/>
      <c r="L707" s="4"/>
      <c r="M707" s="5"/>
      <c r="O707" s="4"/>
    </row>
    <row r="708" spans="9:15" ht="12.75" x14ac:dyDescent="0.2">
      <c r="I708" s="4"/>
      <c r="J708" s="4"/>
      <c r="L708" s="4"/>
      <c r="M708" s="5"/>
      <c r="O708" s="4"/>
    </row>
    <row r="709" spans="9:15" ht="12.75" x14ac:dyDescent="0.2">
      <c r="I709" s="4"/>
      <c r="J709" s="4"/>
      <c r="L709" s="4"/>
      <c r="M709" s="5"/>
      <c r="O709" s="4"/>
    </row>
    <row r="710" spans="9:15" ht="12.75" x14ac:dyDescent="0.2">
      <c r="I710" s="4"/>
      <c r="J710" s="4"/>
      <c r="L710" s="4"/>
      <c r="M710" s="5"/>
      <c r="O710" s="4"/>
    </row>
    <row r="711" spans="9:15" ht="12.75" x14ac:dyDescent="0.2">
      <c r="I711" s="4"/>
      <c r="J711" s="4"/>
      <c r="L711" s="4"/>
      <c r="M711" s="5"/>
      <c r="O711" s="4"/>
    </row>
    <row r="712" spans="9:15" ht="12.75" x14ac:dyDescent="0.2">
      <c r="I712" s="4"/>
      <c r="J712" s="4"/>
      <c r="L712" s="4"/>
      <c r="M712" s="5"/>
      <c r="O712" s="4"/>
    </row>
    <row r="713" spans="9:15" ht="12.75" x14ac:dyDescent="0.2">
      <c r="I713" s="4"/>
      <c r="J713" s="4"/>
      <c r="L713" s="4"/>
      <c r="M713" s="5"/>
      <c r="O713" s="4"/>
    </row>
    <row r="714" spans="9:15" ht="12.75" x14ac:dyDescent="0.2">
      <c r="I714" s="4"/>
      <c r="J714" s="4"/>
      <c r="L714" s="4"/>
      <c r="M714" s="5"/>
      <c r="O714" s="4"/>
    </row>
    <row r="715" spans="9:15" ht="12.75" x14ac:dyDescent="0.2">
      <c r="I715" s="4"/>
      <c r="J715" s="4"/>
      <c r="L715" s="4"/>
      <c r="M715" s="5"/>
      <c r="O715" s="4"/>
    </row>
    <row r="716" spans="9:15" ht="12.75" x14ac:dyDescent="0.2">
      <c r="I716" s="4"/>
      <c r="J716" s="4"/>
      <c r="L716" s="4"/>
      <c r="M716" s="5"/>
      <c r="O716" s="4"/>
    </row>
    <row r="717" spans="9:15" ht="12.75" x14ac:dyDescent="0.2">
      <c r="I717" s="4"/>
      <c r="J717" s="4"/>
      <c r="L717" s="4"/>
      <c r="M717" s="5"/>
      <c r="O717" s="4"/>
    </row>
    <row r="718" spans="9:15" ht="12.75" x14ac:dyDescent="0.2">
      <c r="I718" s="4"/>
      <c r="J718" s="4"/>
      <c r="L718" s="4"/>
      <c r="M718" s="5"/>
      <c r="O718" s="4"/>
    </row>
    <row r="719" spans="9:15" ht="12.75" x14ac:dyDescent="0.2">
      <c r="I719" s="4"/>
      <c r="J719" s="4"/>
      <c r="L719" s="4"/>
      <c r="M719" s="5"/>
      <c r="O719" s="4"/>
    </row>
    <row r="720" spans="9:15" ht="12.75" x14ac:dyDescent="0.2">
      <c r="I720" s="4"/>
      <c r="J720" s="4"/>
      <c r="L720" s="4"/>
      <c r="M720" s="5"/>
      <c r="O720" s="4"/>
    </row>
    <row r="721" spans="9:15" ht="12.75" x14ac:dyDescent="0.2">
      <c r="I721" s="4"/>
      <c r="J721" s="4"/>
      <c r="L721" s="4"/>
      <c r="M721" s="5"/>
      <c r="O721" s="4"/>
    </row>
    <row r="722" spans="9:15" ht="12.75" x14ac:dyDescent="0.2">
      <c r="I722" s="4"/>
      <c r="J722" s="4"/>
      <c r="L722" s="4"/>
      <c r="M722" s="5"/>
      <c r="O722" s="4"/>
    </row>
    <row r="723" spans="9:15" ht="12.75" x14ac:dyDescent="0.2">
      <c r="I723" s="4"/>
      <c r="J723" s="4"/>
      <c r="L723" s="4"/>
      <c r="M723" s="5"/>
      <c r="O723" s="4"/>
    </row>
    <row r="724" spans="9:15" ht="12.75" x14ac:dyDescent="0.2">
      <c r="I724" s="4"/>
      <c r="J724" s="4"/>
      <c r="L724" s="4"/>
      <c r="M724" s="5"/>
      <c r="O724" s="4"/>
    </row>
    <row r="725" spans="9:15" ht="12.75" x14ac:dyDescent="0.2">
      <c r="I725" s="4"/>
      <c r="J725" s="4"/>
      <c r="L725" s="4"/>
      <c r="M725" s="5"/>
      <c r="O725" s="4"/>
    </row>
    <row r="726" spans="9:15" ht="12.75" x14ac:dyDescent="0.2">
      <c r="I726" s="4"/>
      <c r="J726" s="4"/>
      <c r="L726" s="4"/>
      <c r="M726" s="5"/>
      <c r="O726" s="4"/>
    </row>
    <row r="727" spans="9:15" ht="12.75" x14ac:dyDescent="0.2">
      <c r="I727" s="4"/>
      <c r="J727" s="4"/>
      <c r="L727" s="4"/>
      <c r="M727" s="5"/>
      <c r="O727" s="4"/>
    </row>
    <row r="728" spans="9:15" ht="12.75" x14ac:dyDescent="0.2">
      <c r="I728" s="4"/>
      <c r="J728" s="4"/>
      <c r="L728" s="4"/>
      <c r="M728" s="5"/>
      <c r="O728" s="4"/>
    </row>
    <row r="729" spans="9:15" ht="12.75" x14ac:dyDescent="0.2">
      <c r="I729" s="4"/>
      <c r="J729" s="4"/>
      <c r="L729" s="4"/>
      <c r="M729" s="5"/>
      <c r="O729" s="4"/>
    </row>
    <row r="730" spans="9:15" ht="12.75" x14ac:dyDescent="0.2">
      <c r="I730" s="4"/>
      <c r="J730" s="4"/>
      <c r="L730" s="4"/>
      <c r="M730" s="5"/>
      <c r="O730" s="4"/>
    </row>
    <row r="731" spans="9:15" ht="12.75" x14ac:dyDescent="0.2">
      <c r="I731" s="4"/>
      <c r="J731" s="4"/>
      <c r="L731" s="4"/>
      <c r="M731" s="5"/>
      <c r="O731" s="4"/>
    </row>
    <row r="732" spans="9:15" ht="12.75" x14ac:dyDescent="0.2">
      <c r="I732" s="4"/>
      <c r="J732" s="4"/>
      <c r="L732" s="4"/>
      <c r="M732" s="5"/>
      <c r="O732" s="4"/>
    </row>
    <row r="733" spans="9:15" ht="12.75" x14ac:dyDescent="0.2">
      <c r="I733" s="4"/>
      <c r="J733" s="4"/>
      <c r="L733" s="4"/>
      <c r="M733" s="5"/>
      <c r="O733" s="4"/>
    </row>
    <row r="734" spans="9:15" ht="12.75" x14ac:dyDescent="0.2">
      <c r="I734" s="4"/>
      <c r="J734" s="4"/>
      <c r="L734" s="4"/>
      <c r="M734" s="5"/>
      <c r="O734" s="4"/>
    </row>
    <row r="735" spans="9:15" ht="12.75" x14ac:dyDescent="0.2">
      <c r="I735" s="4"/>
      <c r="J735" s="4"/>
      <c r="L735" s="4"/>
      <c r="M735" s="5"/>
      <c r="O735" s="4"/>
    </row>
    <row r="736" spans="9:15" ht="12.75" x14ac:dyDescent="0.2">
      <c r="I736" s="4"/>
      <c r="J736" s="4"/>
      <c r="L736" s="4"/>
      <c r="M736" s="5"/>
      <c r="O736" s="4"/>
    </row>
    <row r="737" spans="9:15" ht="12.75" x14ac:dyDescent="0.2">
      <c r="I737" s="4"/>
      <c r="J737" s="4"/>
      <c r="L737" s="4"/>
      <c r="M737" s="5"/>
      <c r="O737" s="4"/>
    </row>
    <row r="738" spans="9:15" ht="12.75" x14ac:dyDescent="0.2">
      <c r="I738" s="4"/>
      <c r="J738" s="4"/>
      <c r="L738" s="4"/>
      <c r="M738" s="5"/>
      <c r="O738" s="4"/>
    </row>
    <row r="739" spans="9:15" ht="12.75" x14ac:dyDescent="0.2">
      <c r="I739" s="4"/>
      <c r="J739" s="4"/>
      <c r="L739" s="4"/>
      <c r="M739" s="5"/>
      <c r="O739" s="4"/>
    </row>
    <row r="740" spans="9:15" ht="12.75" x14ac:dyDescent="0.2">
      <c r="I740" s="4"/>
      <c r="J740" s="4"/>
      <c r="L740" s="4"/>
      <c r="M740" s="5"/>
      <c r="O740" s="4"/>
    </row>
    <row r="741" spans="9:15" ht="12.75" x14ac:dyDescent="0.2">
      <c r="I741" s="4"/>
      <c r="J741" s="4"/>
      <c r="L741" s="4"/>
      <c r="M741" s="5"/>
      <c r="O741" s="4"/>
    </row>
    <row r="742" spans="9:15" ht="12.75" x14ac:dyDescent="0.2">
      <c r="I742" s="4"/>
      <c r="J742" s="4"/>
      <c r="L742" s="4"/>
      <c r="M742" s="5"/>
      <c r="O742" s="4"/>
    </row>
    <row r="743" spans="9:15" ht="12.75" x14ac:dyDescent="0.2">
      <c r="I743" s="4"/>
      <c r="J743" s="4"/>
      <c r="L743" s="4"/>
      <c r="M743" s="5"/>
      <c r="O743" s="4"/>
    </row>
    <row r="744" spans="9:15" ht="12.75" x14ac:dyDescent="0.2">
      <c r="I744" s="4"/>
      <c r="J744" s="4"/>
      <c r="L744" s="4"/>
      <c r="M744" s="5"/>
      <c r="O744" s="4"/>
    </row>
    <row r="745" spans="9:15" ht="12.75" x14ac:dyDescent="0.2">
      <c r="I745" s="4"/>
      <c r="J745" s="4"/>
      <c r="L745" s="4"/>
      <c r="M745" s="5"/>
      <c r="O745" s="4"/>
    </row>
    <row r="746" spans="9:15" ht="12.75" x14ac:dyDescent="0.2">
      <c r="I746" s="4"/>
      <c r="J746" s="4"/>
      <c r="L746" s="4"/>
      <c r="M746" s="5"/>
      <c r="O746" s="4"/>
    </row>
    <row r="747" spans="9:15" ht="12.75" x14ac:dyDescent="0.2">
      <c r="I747" s="4"/>
      <c r="J747" s="4"/>
      <c r="L747" s="4"/>
      <c r="M747" s="5"/>
      <c r="O747" s="4"/>
    </row>
    <row r="748" spans="9:15" ht="12.75" x14ac:dyDescent="0.2">
      <c r="I748" s="4"/>
      <c r="J748" s="4"/>
      <c r="L748" s="4"/>
      <c r="M748" s="5"/>
      <c r="O748" s="4"/>
    </row>
    <row r="749" spans="9:15" ht="12.75" x14ac:dyDescent="0.2">
      <c r="I749" s="4"/>
      <c r="J749" s="4"/>
      <c r="L749" s="4"/>
      <c r="M749" s="5"/>
      <c r="O749" s="4"/>
    </row>
    <row r="750" spans="9:15" ht="12.75" x14ac:dyDescent="0.2">
      <c r="I750" s="4"/>
      <c r="J750" s="4"/>
      <c r="L750" s="4"/>
      <c r="M750" s="5"/>
      <c r="O750" s="4"/>
    </row>
    <row r="751" spans="9:15" ht="12.75" x14ac:dyDescent="0.2">
      <c r="I751" s="4"/>
      <c r="J751" s="4"/>
      <c r="L751" s="4"/>
      <c r="M751" s="5"/>
      <c r="O751" s="4"/>
    </row>
    <row r="752" spans="9:15" ht="12.75" x14ac:dyDescent="0.2">
      <c r="I752" s="4"/>
      <c r="J752" s="4"/>
      <c r="L752" s="4"/>
      <c r="M752" s="5"/>
      <c r="O752" s="4"/>
    </row>
    <row r="753" spans="9:15" ht="12.75" x14ac:dyDescent="0.2">
      <c r="I753" s="4"/>
      <c r="J753" s="4"/>
      <c r="L753" s="4"/>
      <c r="M753" s="5"/>
      <c r="O753" s="4"/>
    </row>
    <row r="754" spans="9:15" ht="12.75" x14ac:dyDescent="0.2">
      <c r="I754" s="4"/>
      <c r="J754" s="4"/>
      <c r="L754" s="4"/>
      <c r="M754" s="5"/>
      <c r="O754" s="4"/>
    </row>
    <row r="755" spans="9:15" ht="12.75" x14ac:dyDescent="0.2">
      <c r="I755" s="4"/>
      <c r="J755" s="4"/>
      <c r="L755" s="4"/>
      <c r="M755" s="5"/>
      <c r="O755" s="4"/>
    </row>
    <row r="756" spans="9:15" ht="12.75" x14ac:dyDescent="0.2">
      <c r="I756" s="4"/>
      <c r="J756" s="4"/>
      <c r="L756" s="4"/>
      <c r="M756" s="5"/>
      <c r="O756" s="4"/>
    </row>
    <row r="757" spans="9:15" ht="12.75" x14ac:dyDescent="0.2">
      <c r="I757" s="4"/>
      <c r="J757" s="4"/>
      <c r="L757" s="4"/>
      <c r="M757" s="5"/>
      <c r="O757" s="4"/>
    </row>
    <row r="758" spans="9:15" ht="12.75" x14ac:dyDescent="0.2">
      <c r="I758" s="4"/>
      <c r="J758" s="4"/>
      <c r="L758" s="4"/>
      <c r="M758" s="5"/>
      <c r="O758" s="4"/>
    </row>
    <row r="759" spans="9:15" ht="12.75" x14ac:dyDescent="0.2">
      <c r="I759" s="4"/>
      <c r="J759" s="4"/>
      <c r="L759" s="4"/>
      <c r="M759" s="5"/>
      <c r="O759" s="4"/>
    </row>
    <row r="760" spans="9:15" ht="12.75" x14ac:dyDescent="0.2">
      <c r="I760" s="4"/>
      <c r="J760" s="4"/>
      <c r="L760" s="4"/>
      <c r="M760" s="5"/>
      <c r="O760" s="4"/>
    </row>
    <row r="761" spans="9:15" ht="12.75" x14ac:dyDescent="0.2">
      <c r="I761" s="4"/>
      <c r="J761" s="4"/>
      <c r="L761" s="4"/>
      <c r="M761" s="5"/>
      <c r="O761" s="4"/>
    </row>
    <row r="762" spans="9:15" ht="12.75" x14ac:dyDescent="0.2">
      <c r="I762" s="4"/>
      <c r="J762" s="4"/>
      <c r="L762" s="4"/>
      <c r="M762" s="5"/>
      <c r="O762" s="4"/>
    </row>
    <row r="763" spans="9:15" ht="12.75" x14ac:dyDescent="0.2">
      <c r="I763" s="4"/>
      <c r="J763" s="4"/>
      <c r="L763" s="4"/>
      <c r="M763" s="5"/>
      <c r="O763" s="4"/>
    </row>
    <row r="764" spans="9:15" ht="12.75" x14ac:dyDescent="0.2">
      <c r="I764" s="4"/>
      <c r="J764" s="4"/>
      <c r="L764" s="4"/>
      <c r="M764" s="5"/>
      <c r="O764" s="4"/>
    </row>
    <row r="765" spans="9:15" ht="12.75" x14ac:dyDescent="0.2">
      <c r="I765" s="4"/>
      <c r="J765" s="4"/>
      <c r="L765" s="4"/>
      <c r="M765" s="5"/>
      <c r="O765" s="4"/>
    </row>
    <row r="766" spans="9:15" ht="12.75" x14ac:dyDescent="0.2">
      <c r="I766" s="4"/>
      <c r="J766" s="4"/>
      <c r="L766" s="4"/>
      <c r="M766" s="5"/>
      <c r="O766" s="4"/>
    </row>
    <row r="767" spans="9:15" ht="12.75" x14ac:dyDescent="0.2">
      <c r="I767" s="4"/>
      <c r="J767" s="4"/>
      <c r="L767" s="4"/>
      <c r="M767" s="5"/>
      <c r="O767" s="4"/>
    </row>
    <row r="768" spans="9:15" ht="12.75" x14ac:dyDescent="0.2">
      <c r="I768" s="4"/>
      <c r="J768" s="4"/>
      <c r="L768" s="4"/>
      <c r="M768" s="5"/>
      <c r="O768" s="4"/>
    </row>
    <row r="769" spans="9:15" ht="12.75" x14ac:dyDescent="0.2">
      <c r="I769" s="4"/>
      <c r="J769" s="4"/>
      <c r="L769" s="4"/>
      <c r="M769" s="5"/>
      <c r="O769" s="4"/>
    </row>
    <row r="770" spans="9:15" ht="12.75" x14ac:dyDescent="0.2">
      <c r="I770" s="4"/>
      <c r="J770" s="4"/>
      <c r="L770" s="4"/>
      <c r="M770" s="5"/>
      <c r="O770" s="4"/>
    </row>
    <row r="771" spans="9:15" ht="12.75" x14ac:dyDescent="0.2">
      <c r="I771" s="4"/>
      <c r="J771" s="4"/>
      <c r="L771" s="4"/>
      <c r="M771" s="5"/>
      <c r="O771" s="4"/>
    </row>
    <row r="772" spans="9:15" ht="12.75" x14ac:dyDescent="0.2">
      <c r="I772" s="4"/>
      <c r="J772" s="4"/>
      <c r="L772" s="4"/>
      <c r="M772" s="5"/>
      <c r="O772" s="4"/>
    </row>
    <row r="773" spans="9:15" ht="12.75" x14ac:dyDescent="0.2">
      <c r="I773" s="4"/>
      <c r="J773" s="4"/>
      <c r="L773" s="4"/>
      <c r="M773" s="5"/>
      <c r="O773" s="4"/>
    </row>
    <row r="774" spans="9:15" ht="12.75" x14ac:dyDescent="0.2">
      <c r="I774" s="4"/>
      <c r="J774" s="4"/>
      <c r="L774" s="4"/>
      <c r="M774" s="5"/>
      <c r="O774" s="4"/>
    </row>
    <row r="775" spans="9:15" ht="12.75" x14ac:dyDescent="0.2">
      <c r="I775" s="4"/>
      <c r="J775" s="4"/>
      <c r="L775" s="4"/>
      <c r="M775" s="5"/>
      <c r="O775" s="4"/>
    </row>
    <row r="776" spans="9:15" ht="12.75" x14ac:dyDescent="0.2">
      <c r="I776" s="4"/>
      <c r="J776" s="4"/>
      <c r="L776" s="4"/>
      <c r="M776" s="5"/>
      <c r="O776" s="4"/>
    </row>
    <row r="777" spans="9:15" ht="12.75" x14ac:dyDescent="0.2">
      <c r="I777" s="4"/>
      <c r="J777" s="4"/>
      <c r="L777" s="4"/>
      <c r="M777" s="5"/>
      <c r="O777" s="4"/>
    </row>
    <row r="778" spans="9:15" ht="12.75" x14ac:dyDescent="0.2">
      <c r="I778" s="4"/>
      <c r="J778" s="4"/>
      <c r="L778" s="4"/>
      <c r="M778" s="5"/>
      <c r="O778" s="4"/>
    </row>
    <row r="779" spans="9:15" ht="12.75" x14ac:dyDescent="0.2">
      <c r="I779" s="4"/>
      <c r="J779" s="4"/>
      <c r="L779" s="4"/>
      <c r="M779" s="5"/>
      <c r="O779" s="4"/>
    </row>
    <row r="780" spans="9:15" ht="12.75" x14ac:dyDescent="0.2">
      <c r="I780" s="4"/>
      <c r="J780" s="4"/>
      <c r="L780" s="4"/>
      <c r="M780" s="5"/>
      <c r="O780" s="4"/>
    </row>
    <row r="781" spans="9:15" ht="12.75" x14ac:dyDescent="0.2">
      <c r="I781" s="4"/>
      <c r="J781" s="4"/>
      <c r="L781" s="4"/>
      <c r="M781" s="5"/>
      <c r="O781" s="4"/>
    </row>
    <row r="782" spans="9:15" ht="12.75" x14ac:dyDescent="0.2">
      <c r="I782" s="4"/>
      <c r="J782" s="4"/>
      <c r="L782" s="4"/>
      <c r="M782" s="5"/>
      <c r="O782" s="4"/>
    </row>
    <row r="783" spans="9:15" ht="12.75" x14ac:dyDescent="0.2">
      <c r="I783" s="4"/>
      <c r="J783" s="4"/>
      <c r="L783" s="4"/>
      <c r="M783" s="5"/>
      <c r="O783" s="4"/>
    </row>
    <row r="784" spans="9:15" ht="12.75" x14ac:dyDescent="0.2">
      <c r="I784" s="4"/>
      <c r="J784" s="4"/>
      <c r="L784" s="4"/>
      <c r="M784" s="5"/>
      <c r="O784" s="4"/>
    </row>
    <row r="785" spans="9:15" ht="12.75" x14ac:dyDescent="0.2">
      <c r="I785" s="4"/>
      <c r="J785" s="4"/>
      <c r="L785" s="4"/>
      <c r="M785" s="5"/>
      <c r="O785" s="4"/>
    </row>
    <row r="786" spans="9:15" ht="12.75" x14ac:dyDescent="0.2">
      <c r="I786" s="4"/>
      <c r="J786" s="4"/>
      <c r="L786" s="4"/>
      <c r="M786" s="5"/>
      <c r="O786" s="4"/>
    </row>
    <row r="787" spans="9:15" ht="12.75" x14ac:dyDescent="0.2">
      <c r="I787" s="4"/>
      <c r="J787" s="4"/>
      <c r="L787" s="4"/>
      <c r="M787" s="5"/>
      <c r="O787" s="4"/>
    </row>
    <row r="788" spans="9:15" ht="12.75" x14ac:dyDescent="0.2">
      <c r="I788" s="4"/>
      <c r="J788" s="4"/>
      <c r="L788" s="4"/>
      <c r="M788" s="5"/>
      <c r="O788" s="4"/>
    </row>
    <row r="789" spans="9:15" ht="12.75" x14ac:dyDescent="0.2">
      <c r="I789" s="4"/>
      <c r="J789" s="4"/>
      <c r="L789" s="4"/>
      <c r="M789" s="5"/>
      <c r="O789" s="4"/>
    </row>
    <row r="790" spans="9:15" ht="12.75" x14ac:dyDescent="0.2">
      <c r="I790" s="4"/>
      <c r="J790" s="4"/>
      <c r="L790" s="4"/>
      <c r="M790" s="5"/>
      <c r="O790" s="4"/>
    </row>
    <row r="791" spans="9:15" ht="12.75" x14ac:dyDescent="0.2">
      <c r="I791" s="4"/>
      <c r="J791" s="4"/>
      <c r="L791" s="4"/>
      <c r="M791" s="5"/>
      <c r="O791" s="4"/>
    </row>
    <row r="792" spans="9:15" ht="12.75" x14ac:dyDescent="0.2">
      <c r="I792" s="4"/>
      <c r="J792" s="4"/>
      <c r="L792" s="4"/>
      <c r="M792" s="5"/>
      <c r="O792" s="4"/>
    </row>
    <row r="793" spans="9:15" ht="12.75" x14ac:dyDescent="0.2">
      <c r="I793" s="4"/>
      <c r="J793" s="4"/>
      <c r="L793" s="4"/>
      <c r="M793" s="5"/>
      <c r="O793" s="4"/>
    </row>
    <row r="794" spans="9:15" ht="12.75" x14ac:dyDescent="0.2">
      <c r="I794" s="4"/>
      <c r="J794" s="4"/>
      <c r="L794" s="4"/>
      <c r="M794" s="5"/>
      <c r="O794" s="4"/>
    </row>
    <row r="795" spans="9:15" ht="12.75" x14ac:dyDescent="0.2">
      <c r="I795" s="4"/>
      <c r="J795" s="4"/>
      <c r="L795" s="4"/>
      <c r="M795" s="5"/>
      <c r="O795" s="4"/>
    </row>
    <row r="796" spans="9:15" ht="12.75" x14ac:dyDescent="0.2">
      <c r="I796" s="4"/>
      <c r="J796" s="4"/>
      <c r="L796" s="4"/>
      <c r="M796" s="5"/>
      <c r="O796" s="4"/>
    </row>
    <row r="797" spans="9:15" ht="12.75" x14ac:dyDescent="0.2">
      <c r="I797" s="4"/>
      <c r="J797" s="4"/>
      <c r="L797" s="4"/>
      <c r="M797" s="5"/>
      <c r="O797" s="4"/>
    </row>
    <row r="798" spans="9:15" ht="12.75" x14ac:dyDescent="0.2">
      <c r="I798" s="4"/>
      <c r="J798" s="4"/>
      <c r="L798" s="4"/>
      <c r="M798" s="5"/>
      <c r="O798" s="4"/>
    </row>
    <row r="799" spans="9:15" ht="12.75" x14ac:dyDescent="0.2">
      <c r="I799" s="4"/>
      <c r="J799" s="4"/>
      <c r="L799" s="4"/>
      <c r="M799" s="5"/>
      <c r="O799" s="4"/>
    </row>
    <row r="800" spans="9:15" ht="12.75" x14ac:dyDescent="0.2">
      <c r="I800" s="4"/>
      <c r="J800" s="4"/>
      <c r="L800" s="4"/>
      <c r="M800" s="5"/>
      <c r="O800" s="4"/>
    </row>
    <row r="801" spans="9:15" ht="12.75" x14ac:dyDescent="0.2">
      <c r="I801" s="4"/>
      <c r="J801" s="4"/>
      <c r="L801" s="4"/>
      <c r="M801" s="5"/>
      <c r="O801" s="4"/>
    </row>
    <row r="802" spans="9:15" ht="12.75" x14ac:dyDescent="0.2">
      <c r="I802" s="4"/>
      <c r="J802" s="4"/>
      <c r="L802" s="4"/>
      <c r="M802" s="5"/>
      <c r="O802" s="4"/>
    </row>
    <row r="803" spans="9:15" ht="12.75" x14ac:dyDescent="0.2">
      <c r="I803" s="4"/>
      <c r="J803" s="4"/>
      <c r="L803" s="4"/>
      <c r="M803" s="5"/>
      <c r="O803" s="4"/>
    </row>
    <row r="804" spans="9:15" ht="12.75" x14ac:dyDescent="0.2">
      <c r="I804" s="4"/>
      <c r="J804" s="4"/>
      <c r="L804" s="4"/>
      <c r="M804" s="5"/>
      <c r="O804" s="4"/>
    </row>
    <row r="805" spans="9:15" ht="12.75" x14ac:dyDescent="0.2">
      <c r="I805" s="4"/>
      <c r="J805" s="4"/>
      <c r="L805" s="4"/>
      <c r="M805" s="5"/>
      <c r="O805" s="4"/>
    </row>
    <row r="806" spans="9:15" ht="12.75" x14ac:dyDescent="0.2">
      <c r="I806" s="4"/>
      <c r="J806" s="4"/>
      <c r="L806" s="4"/>
      <c r="M806" s="5"/>
      <c r="O806" s="4"/>
    </row>
    <row r="807" spans="9:15" ht="12.75" x14ac:dyDescent="0.2">
      <c r="I807" s="4"/>
      <c r="J807" s="4"/>
      <c r="L807" s="4"/>
      <c r="M807" s="5"/>
      <c r="O807" s="4"/>
    </row>
    <row r="808" spans="9:15" ht="12.75" x14ac:dyDescent="0.2">
      <c r="I808" s="4"/>
      <c r="J808" s="4"/>
      <c r="L808" s="4"/>
      <c r="M808" s="5"/>
      <c r="O808" s="4"/>
    </row>
    <row r="809" spans="9:15" ht="12.75" x14ac:dyDescent="0.2">
      <c r="I809" s="4"/>
      <c r="J809" s="4"/>
      <c r="L809" s="4"/>
      <c r="M809" s="5"/>
      <c r="O809" s="4"/>
    </row>
    <row r="810" spans="9:15" ht="12.75" x14ac:dyDescent="0.2">
      <c r="I810" s="4"/>
      <c r="J810" s="4"/>
      <c r="L810" s="4"/>
      <c r="M810" s="5"/>
      <c r="O810" s="4"/>
    </row>
    <row r="811" spans="9:15" ht="12.75" x14ac:dyDescent="0.2">
      <c r="I811" s="4"/>
      <c r="J811" s="4"/>
      <c r="L811" s="4"/>
      <c r="M811" s="5"/>
      <c r="O811" s="4"/>
    </row>
    <row r="812" spans="9:15" ht="12.75" x14ac:dyDescent="0.2">
      <c r="I812" s="4"/>
      <c r="J812" s="4"/>
      <c r="L812" s="4"/>
      <c r="M812" s="5"/>
      <c r="O812" s="4"/>
    </row>
    <row r="813" spans="9:15" ht="12.75" x14ac:dyDescent="0.2">
      <c r="I813" s="4"/>
      <c r="J813" s="4"/>
      <c r="L813" s="4"/>
      <c r="M813" s="5"/>
      <c r="O813" s="4"/>
    </row>
    <row r="814" spans="9:15" ht="12.75" x14ac:dyDescent="0.2">
      <c r="I814" s="4"/>
      <c r="J814" s="4"/>
      <c r="L814" s="4"/>
      <c r="M814" s="5"/>
      <c r="O814" s="4"/>
    </row>
    <row r="815" spans="9:15" ht="12.75" x14ac:dyDescent="0.2">
      <c r="I815" s="4"/>
      <c r="J815" s="4"/>
      <c r="L815" s="4"/>
      <c r="M815" s="5"/>
      <c r="O815" s="4"/>
    </row>
    <row r="816" spans="9:15" ht="12.75" x14ac:dyDescent="0.2">
      <c r="I816" s="4"/>
      <c r="J816" s="4"/>
      <c r="L816" s="4"/>
      <c r="M816" s="5"/>
      <c r="O816" s="4"/>
    </row>
    <row r="817" spans="9:15" ht="12.75" x14ac:dyDescent="0.2">
      <c r="I817" s="4"/>
      <c r="J817" s="4"/>
      <c r="L817" s="4"/>
      <c r="M817" s="5"/>
      <c r="O817" s="4"/>
    </row>
    <row r="818" spans="9:15" ht="12.75" x14ac:dyDescent="0.2">
      <c r="I818" s="4"/>
      <c r="J818" s="4"/>
      <c r="L818" s="4"/>
      <c r="M818" s="5"/>
      <c r="O818" s="4"/>
    </row>
    <row r="819" spans="9:15" ht="12.75" x14ac:dyDescent="0.2">
      <c r="I819" s="4"/>
      <c r="J819" s="4"/>
      <c r="L819" s="4"/>
      <c r="M819" s="5"/>
      <c r="O819" s="4"/>
    </row>
    <row r="820" spans="9:15" ht="12.75" x14ac:dyDescent="0.2">
      <c r="I820" s="4"/>
      <c r="J820" s="4"/>
      <c r="L820" s="4"/>
      <c r="M820" s="5"/>
      <c r="O820" s="4"/>
    </row>
    <row r="821" spans="9:15" ht="12.75" x14ac:dyDescent="0.2">
      <c r="I821" s="4"/>
      <c r="J821" s="4"/>
      <c r="L821" s="4"/>
      <c r="M821" s="5"/>
      <c r="O821" s="4"/>
    </row>
    <row r="822" spans="9:15" ht="12.75" x14ac:dyDescent="0.2">
      <c r="I822" s="4"/>
      <c r="J822" s="4"/>
      <c r="L822" s="4"/>
      <c r="M822" s="5"/>
      <c r="O822" s="4"/>
    </row>
    <row r="823" spans="9:15" ht="12.75" x14ac:dyDescent="0.2">
      <c r="I823" s="4"/>
      <c r="J823" s="4"/>
      <c r="L823" s="4"/>
      <c r="M823" s="5"/>
      <c r="O823" s="4"/>
    </row>
    <row r="824" spans="9:15" ht="12.75" x14ac:dyDescent="0.2">
      <c r="I824" s="4"/>
      <c r="J824" s="4"/>
      <c r="L824" s="4"/>
      <c r="M824" s="5"/>
      <c r="O824" s="4"/>
    </row>
    <row r="825" spans="9:15" ht="12.75" x14ac:dyDescent="0.2">
      <c r="I825" s="4"/>
      <c r="J825" s="4"/>
      <c r="L825" s="4"/>
      <c r="M825" s="5"/>
      <c r="O825" s="4"/>
    </row>
    <row r="826" spans="9:15" ht="12.75" x14ac:dyDescent="0.2">
      <c r="I826" s="4"/>
      <c r="J826" s="4"/>
      <c r="L826" s="4"/>
      <c r="M826" s="5"/>
      <c r="O826" s="4"/>
    </row>
    <row r="827" spans="9:15" ht="12.75" x14ac:dyDescent="0.2">
      <c r="I827" s="4"/>
      <c r="J827" s="4"/>
      <c r="L827" s="4"/>
      <c r="M827" s="5"/>
      <c r="O827" s="4"/>
    </row>
    <row r="828" spans="9:15" ht="12.75" x14ac:dyDescent="0.2">
      <c r="I828" s="4"/>
      <c r="J828" s="4"/>
      <c r="L828" s="4"/>
      <c r="M828" s="5"/>
      <c r="O828" s="4"/>
    </row>
    <row r="829" spans="9:15" ht="12.75" x14ac:dyDescent="0.2">
      <c r="I829" s="4"/>
      <c r="J829" s="4"/>
      <c r="L829" s="4"/>
      <c r="M829" s="5"/>
      <c r="O829" s="4"/>
    </row>
    <row r="830" spans="9:15" ht="12.75" x14ac:dyDescent="0.2">
      <c r="I830" s="4"/>
      <c r="J830" s="4"/>
      <c r="L830" s="4"/>
      <c r="M830" s="5"/>
      <c r="O830" s="4"/>
    </row>
    <row r="831" spans="9:15" ht="12.75" x14ac:dyDescent="0.2">
      <c r="I831" s="4"/>
      <c r="J831" s="4"/>
      <c r="L831" s="4"/>
      <c r="M831" s="5"/>
      <c r="O831" s="4"/>
    </row>
    <row r="832" spans="9:15" ht="12.75" x14ac:dyDescent="0.2">
      <c r="I832" s="4"/>
      <c r="J832" s="4"/>
      <c r="L832" s="4"/>
      <c r="M832" s="5"/>
      <c r="O832" s="4"/>
    </row>
    <row r="833" spans="9:15" ht="12.75" x14ac:dyDescent="0.2">
      <c r="I833" s="4"/>
      <c r="J833" s="4"/>
      <c r="L833" s="4"/>
      <c r="M833" s="5"/>
      <c r="O833" s="4"/>
    </row>
    <row r="834" spans="9:15" ht="12.75" x14ac:dyDescent="0.2">
      <c r="I834" s="4"/>
      <c r="J834" s="4"/>
      <c r="L834" s="4"/>
      <c r="M834" s="5"/>
      <c r="O834" s="4"/>
    </row>
    <row r="835" spans="9:15" ht="12.75" x14ac:dyDescent="0.2">
      <c r="I835" s="4"/>
      <c r="J835" s="4"/>
      <c r="L835" s="4"/>
      <c r="M835" s="5"/>
      <c r="O835" s="4"/>
    </row>
    <row r="836" spans="9:15" ht="12.75" x14ac:dyDescent="0.2">
      <c r="I836" s="4"/>
      <c r="J836" s="4"/>
      <c r="L836" s="4"/>
      <c r="M836" s="5"/>
      <c r="O836" s="4"/>
    </row>
    <row r="837" spans="9:15" ht="12.75" x14ac:dyDescent="0.2">
      <c r="I837" s="4"/>
      <c r="J837" s="4"/>
      <c r="L837" s="4"/>
      <c r="M837" s="5"/>
      <c r="O837" s="4"/>
    </row>
    <row r="838" spans="9:15" ht="12.75" x14ac:dyDescent="0.2">
      <c r="I838" s="4"/>
      <c r="J838" s="4"/>
      <c r="L838" s="4"/>
      <c r="M838" s="5"/>
      <c r="O838" s="4"/>
    </row>
    <row r="839" spans="9:15" ht="12.75" x14ac:dyDescent="0.2">
      <c r="I839" s="4"/>
      <c r="J839" s="4"/>
      <c r="L839" s="4"/>
      <c r="M839" s="5"/>
      <c r="O839" s="4"/>
    </row>
    <row r="840" spans="9:15" ht="12.75" x14ac:dyDescent="0.2">
      <c r="I840" s="4"/>
      <c r="J840" s="4"/>
      <c r="L840" s="4"/>
      <c r="M840" s="5"/>
      <c r="O840" s="4"/>
    </row>
    <row r="841" spans="9:15" ht="12.75" x14ac:dyDescent="0.2">
      <c r="I841" s="4"/>
      <c r="J841" s="4"/>
      <c r="L841" s="4"/>
      <c r="M841" s="5"/>
      <c r="O841" s="4"/>
    </row>
    <row r="842" spans="9:15" ht="12.75" x14ac:dyDescent="0.2">
      <c r="I842" s="4"/>
      <c r="J842" s="4"/>
      <c r="L842" s="4"/>
      <c r="M842" s="5"/>
      <c r="O842" s="4"/>
    </row>
    <row r="843" spans="9:15" ht="12.75" x14ac:dyDescent="0.2">
      <c r="I843" s="4"/>
      <c r="J843" s="4"/>
      <c r="L843" s="4"/>
      <c r="M843" s="5"/>
      <c r="O843" s="4"/>
    </row>
    <row r="844" spans="9:15" ht="12.75" x14ac:dyDescent="0.2">
      <c r="I844" s="4"/>
      <c r="J844" s="4"/>
      <c r="L844" s="4"/>
      <c r="M844" s="5"/>
      <c r="O844" s="4"/>
    </row>
    <row r="845" spans="9:15" ht="12.75" x14ac:dyDescent="0.2">
      <c r="I845" s="4"/>
      <c r="J845" s="4"/>
      <c r="L845" s="4"/>
      <c r="M845" s="5"/>
      <c r="O845" s="4"/>
    </row>
    <row r="846" spans="9:15" ht="12.75" x14ac:dyDescent="0.2">
      <c r="I846" s="4"/>
      <c r="J846" s="4"/>
      <c r="L846" s="4"/>
      <c r="M846" s="5"/>
      <c r="O846" s="4"/>
    </row>
    <row r="847" spans="9:15" ht="12.75" x14ac:dyDescent="0.2">
      <c r="I847" s="4"/>
      <c r="J847" s="4"/>
      <c r="L847" s="4"/>
      <c r="M847" s="5"/>
      <c r="O847" s="4"/>
    </row>
    <row r="848" spans="9:15" ht="12.75" x14ac:dyDescent="0.2">
      <c r="I848" s="4"/>
      <c r="J848" s="4"/>
      <c r="L848" s="4"/>
      <c r="M848" s="5"/>
      <c r="O848" s="4"/>
    </row>
    <row r="849" spans="9:15" ht="12.75" x14ac:dyDescent="0.2">
      <c r="I849" s="4"/>
      <c r="J849" s="4"/>
      <c r="L849" s="4"/>
      <c r="M849" s="5"/>
      <c r="O849" s="4"/>
    </row>
    <row r="850" spans="9:15" ht="12.75" x14ac:dyDescent="0.2">
      <c r="I850" s="4"/>
      <c r="J850" s="4"/>
      <c r="L850" s="4"/>
      <c r="M850" s="5"/>
      <c r="O850" s="4"/>
    </row>
    <row r="851" spans="9:15" ht="12.75" x14ac:dyDescent="0.2">
      <c r="I851" s="4"/>
      <c r="J851" s="4"/>
      <c r="L851" s="4"/>
      <c r="M851" s="5"/>
      <c r="O851" s="4"/>
    </row>
    <row r="852" spans="9:15" ht="12.75" x14ac:dyDescent="0.2">
      <c r="I852" s="4"/>
      <c r="J852" s="4"/>
      <c r="L852" s="4"/>
      <c r="M852" s="5"/>
      <c r="O852" s="4"/>
    </row>
    <row r="853" spans="9:15" ht="12.75" x14ac:dyDescent="0.2">
      <c r="I853" s="4"/>
      <c r="J853" s="4"/>
      <c r="L853" s="4"/>
      <c r="M853" s="5"/>
      <c r="O853" s="4"/>
    </row>
    <row r="854" spans="9:15" ht="12.75" x14ac:dyDescent="0.2">
      <c r="I854" s="4"/>
      <c r="J854" s="4"/>
      <c r="L854" s="4"/>
      <c r="M854" s="5"/>
      <c r="O854" s="4"/>
    </row>
    <row r="855" spans="9:15" ht="12.75" x14ac:dyDescent="0.2">
      <c r="I855" s="4"/>
      <c r="J855" s="4"/>
      <c r="L855" s="4"/>
      <c r="M855" s="5"/>
      <c r="O855" s="4"/>
    </row>
    <row r="856" spans="9:15" ht="12.75" x14ac:dyDescent="0.2">
      <c r="I856" s="4"/>
      <c r="J856" s="4"/>
      <c r="L856" s="4"/>
      <c r="M856" s="5"/>
      <c r="O856" s="4"/>
    </row>
    <row r="857" spans="9:15" ht="12.75" x14ac:dyDescent="0.2">
      <c r="I857" s="4"/>
      <c r="J857" s="4"/>
      <c r="L857" s="4"/>
      <c r="M857" s="5"/>
      <c r="O857" s="4"/>
    </row>
    <row r="858" spans="9:15" ht="12.75" x14ac:dyDescent="0.2">
      <c r="I858" s="4"/>
      <c r="J858" s="4"/>
      <c r="L858" s="4"/>
      <c r="M858" s="5"/>
      <c r="O858" s="4"/>
    </row>
    <row r="859" spans="9:15" ht="12.75" x14ac:dyDescent="0.2">
      <c r="I859" s="4"/>
      <c r="J859" s="4"/>
      <c r="L859" s="4"/>
      <c r="M859" s="5"/>
      <c r="O859" s="4"/>
    </row>
    <row r="860" spans="9:15" ht="12.75" x14ac:dyDescent="0.2">
      <c r="I860" s="4"/>
      <c r="J860" s="4"/>
      <c r="L860" s="4"/>
      <c r="M860" s="5"/>
      <c r="O860" s="4"/>
    </row>
    <row r="861" spans="9:15" ht="12.75" x14ac:dyDescent="0.2">
      <c r="I861" s="4"/>
      <c r="J861" s="4"/>
      <c r="L861" s="4"/>
      <c r="M861" s="5"/>
      <c r="O861" s="4"/>
    </row>
    <row r="862" spans="9:15" ht="12.75" x14ac:dyDescent="0.2">
      <c r="I862" s="4"/>
      <c r="J862" s="4"/>
      <c r="L862" s="4"/>
      <c r="M862" s="5"/>
      <c r="O862" s="4"/>
    </row>
    <row r="863" spans="9:15" ht="12.75" x14ac:dyDescent="0.2">
      <c r="I863" s="4"/>
      <c r="J863" s="4"/>
      <c r="L863" s="4"/>
      <c r="M863" s="5"/>
      <c r="O863" s="4"/>
    </row>
    <row r="864" spans="9:15" ht="12.75" x14ac:dyDescent="0.2">
      <c r="I864" s="4"/>
      <c r="J864" s="4"/>
      <c r="L864" s="4"/>
      <c r="M864" s="5"/>
      <c r="O864" s="4"/>
    </row>
    <row r="865" spans="9:15" ht="12.75" x14ac:dyDescent="0.2">
      <c r="I865" s="4"/>
      <c r="J865" s="4"/>
      <c r="L865" s="4"/>
      <c r="M865" s="5"/>
      <c r="O865" s="4"/>
    </row>
    <row r="866" spans="9:15" ht="12.75" x14ac:dyDescent="0.2">
      <c r="I866" s="4"/>
      <c r="J866" s="4"/>
      <c r="L866" s="4"/>
      <c r="M866" s="5"/>
      <c r="O866" s="4"/>
    </row>
    <row r="867" spans="9:15" ht="12.75" x14ac:dyDescent="0.2">
      <c r="I867" s="4"/>
      <c r="J867" s="4"/>
      <c r="L867" s="4"/>
      <c r="M867" s="5"/>
      <c r="O867" s="4"/>
    </row>
    <row r="868" spans="9:15" ht="12.75" x14ac:dyDescent="0.2">
      <c r="I868" s="4"/>
      <c r="J868" s="4"/>
      <c r="L868" s="4"/>
      <c r="M868" s="5"/>
      <c r="O868" s="4"/>
    </row>
    <row r="869" spans="9:15" ht="12.75" x14ac:dyDescent="0.2">
      <c r="I869" s="4"/>
      <c r="J869" s="4"/>
      <c r="L869" s="4"/>
      <c r="M869" s="5"/>
      <c r="O869" s="4"/>
    </row>
    <row r="870" spans="9:15" ht="12.75" x14ac:dyDescent="0.2">
      <c r="I870" s="4"/>
      <c r="J870" s="4"/>
      <c r="L870" s="4"/>
      <c r="M870" s="5"/>
      <c r="O870" s="4"/>
    </row>
    <row r="871" spans="9:15" ht="12.75" x14ac:dyDescent="0.2">
      <c r="I871" s="4"/>
      <c r="J871" s="4"/>
      <c r="L871" s="4"/>
      <c r="M871" s="5"/>
      <c r="O871" s="4"/>
    </row>
    <row r="872" spans="9:15" ht="12.75" x14ac:dyDescent="0.2">
      <c r="I872" s="4"/>
      <c r="J872" s="4"/>
      <c r="L872" s="4"/>
      <c r="M872" s="5"/>
      <c r="O872" s="4"/>
    </row>
    <row r="873" spans="9:15" ht="12.75" x14ac:dyDescent="0.2">
      <c r="I873" s="4"/>
      <c r="J873" s="4"/>
      <c r="L873" s="4"/>
      <c r="M873" s="5"/>
      <c r="O873" s="4"/>
    </row>
    <row r="874" spans="9:15" ht="12.75" x14ac:dyDescent="0.2">
      <c r="I874" s="4"/>
      <c r="J874" s="4"/>
      <c r="L874" s="4"/>
      <c r="M874" s="5"/>
      <c r="O874" s="4"/>
    </row>
    <row r="875" spans="9:15" ht="12.75" x14ac:dyDescent="0.2">
      <c r="I875" s="4"/>
      <c r="J875" s="4"/>
      <c r="L875" s="4"/>
      <c r="M875" s="5"/>
      <c r="O875" s="4"/>
    </row>
    <row r="876" spans="9:15" ht="12.75" x14ac:dyDescent="0.2">
      <c r="I876" s="4"/>
      <c r="J876" s="4"/>
      <c r="L876" s="4"/>
      <c r="M876" s="5"/>
      <c r="O876" s="4"/>
    </row>
    <row r="877" spans="9:15" ht="12.75" x14ac:dyDescent="0.2">
      <c r="I877" s="4"/>
      <c r="J877" s="4"/>
      <c r="L877" s="4"/>
      <c r="M877" s="5"/>
      <c r="O877" s="4"/>
    </row>
    <row r="878" spans="9:15" ht="12.75" x14ac:dyDescent="0.2">
      <c r="I878" s="4"/>
      <c r="J878" s="4"/>
      <c r="L878" s="4"/>
      <c r="M878" s="5"/>
      <c r="O878" s="4"/>
    </row>
    <row r="879" spans="9:15" ht="12.75" x14ac:dyDescent="0.2">
      <c r="I879" s="4"/>
      <c r="J879" s="4"/>
      <c r="L879" s="4"/>
      <c r="M879" s="5"/>
      <c r="O879" s="4"/>
    </row>
    <row r="880" spans="9:15" ht="12.75" x14ac:dyDescent="0.2">
      <c r="I880" s="4"/>
      <c r="J880" s="4"/>
      <c r="L880" s="4"/>
      <c r="M880" s="5"/>
      <c r="O880" s="4"/>
    </row>
    <row r="881" spans="9:15" ht="12.75" x14ac:dyDescent="0.2">
      <c r="I881" s="4"/>
      <c r="J881" s="4"/>
      <c r="L881" s="4"/>
      <c r="M881" s="5"/>
      <c r="O881" s="4"/>
    </row>
    <row r="882" spans="9:15" ht="12.75" x14ac:dyDescent="0.2">
      <c r="I882" s="4"/>
      <c r="J882" s="4"/>
      <c r="L882" s="4"/>
      <c r="M882" s="5"/>
      <c r="O882" s="4"/>
    </row>
    <row r="883" spans="9:15" ht="12.75" x14ac:dyDescent="0.2">
      <c r="I883" s="4"/>
      <c r="J883" s="4"/>
      <c r="L883" s="4"/>
      <c r="M883" s="5"/>
      <c r="O883" s="4"/>
    </row>
    <row r="884" spans="9:15" ht="12.75" x14ac:dyDescent="0.2">
      <c r="I884" s="4"/>
      <c r="J884" s="4"/>
      <c r="L884" s="4"/>
      <c r="M884" s="5"/>
      <c r="O884" s="4"/>
    </row>
    <row r="885" spans="9:15" ht="12.75" x14ac:dyDescent="0.2">
      <c r="I885" s="4"/>
      <c r="J885" s="4"/>
      <c r="L885" s="4"/>
      <c r="M885" s="5"/>
      <c r="O885" s="4"/>
    </row>
    <row r="886" spans="9:15" ht="12.75" x14ac:dyDescent="0.2">
      <c r="I886" s="4"/>
      <c r="J886" s="4"/>
      <c r="L886" s="4"/>
      <c r="M886" s="5"/>
      <c r="O886" s="4"/>
    </row>
    <row r="887" spans="9:15" ht="12.75" x14ac:dyDescent="0.2">
      <c r="I887" s="4"/>
      <c r="J887" s="4"/>
      <c r="L887" s="4"/>
      <c r="M887" s="5"/>
      <c r="O887" s="4"/>
    </row>
    <row r="888" spans="9:15" ht="12.75" x14ac:dyDescent="0.2">
      <c r="I888" s="4"/>
      <c r="J888" s="4"/>
      <c r="L888" s="4"/>
      <c r="M888" s="5"/>
      <c r="O888" s="4"/>
    </row>
    <row r="889" spans="9:15" ht="12.75" x14ac:dyDescent="0.2">
      <c r="I889" s="4"/>
      <c r="J889" s="4"/>
      <c r="L889" s="4"/>
      <c r="M889" s="5"/>
      <c r="O889" s="4"/>
    </row>
    <row r="890" spans="9:15" ht="12.75" x14ac:dyDescent="0.2">
      <c r="I890" s="4"/>
      <c r="J890" s="4"/>
      <c r="L890" s="4"/>
      <c r="M890" s="5"/>
      <c r="O890" s="4"/>
    </row>
    <row r="891" spans="9:15" ht="12.75" x14ac:dyDescent="0.2">
      <c r="I891" s="4"/>
      <c r="J891" s="4"/>
      <c r="L891" s="4"/>
      <c r="M891" s="5"/>
      <c r="O891" s="4"/>
    </row>
    <row r="892" spans="9:15" ht="12.75" x14ac:dyDescent="0.2">
      <c r="I892" s="4"/>
      <c r="J892" s="4"/>
      <c r="L892" s="4"/>
      <c r="M892" s="5"/>
      <c r="O892" s="4"/>
    </row>
    <row r="893" spans="9:15" ht="12.75" x14ac:dyDescent="0.2">
      <c r="I893" s="4"/>
      <c r="J893" s="4"/>
      <c r="L893" s="4"/>
      <c r="M893" s="5"/>
      <c r="O893" s="4"/>
    </row>
    <row r="894" spans="9:15" ht="12.75" x14ac:dyDescent="0.2">
      <c r="I894" s="4"/>
      <c r="J894" s="4"/>
      <c r="L894" s="4"/>
      <c r="M894" s="5"/>
      <c r="O894" s="4"/>
    </row>
    <row r="895" spans="9:15" ht="12.75" x14ac:dyDescent="0.2">
      <c r="I895" s="4"/>
      <c r="J895" s="4"/>
      <c r="L895" s="4"/>
      <c r="M895" s="5"/>
      <c r="O895" s="4"/>
    </row>
    <row r="896" spans="9:15" ht="12.75" x14ac:dyDescent="0.2">
      <c r="I896" s="4"/>
      <c r="J896" s="4"/>
      <c r="L896" s="4"/>
      <c r="M896" s="5"/>
      <c r="O896" s="4"/>
    </row>
    <row r="897" spans="9:15" ht="12.75" x14ac:dyDescent="0.2">
      <c r="I897" s="4"/>
      <c r="J897" s="4"/>
      <c r="L897" s="4"/>
      <c r="M897" s="5"/>
      <c r="O897" s="4"/>
    </row>
    <row r="898" spans="9:15" ht="12.75" x14ac:dyDescent="0.2">
      <c r="I898" s="4"/>
      <c r="J898" s="4"/>
      <c r="L898" s="4"/>
      <c r="M898" s="5"/>
      <c r="O898" s="4"/>
    </row>
    <row r="899" spans="9:15" ht="12.75" x14ac:dyDescent="0.2">
      <c r="I899" s="4"/>
      <c r="J899" s="4"/>
      <c r="L899" s="4"/>
      <c r="M899" s="5"/>
      <c r="O899" s="4"/>
    </row>
    <row r="900" spans="9:15" ht="12.75" x14ac:dyDescent="0.2">
      <c r="I900" s="4"/>
      <c r="J900" s="4"/>
      <c r="L900" s="4"/>
      <c r="M900" s="5"/>
      <c r="O900" s="4"/>
    </row>
    <row r="901" spans="9:15" ht="12.75" x14ac:dyDescent="0.2">
      <c r="I901" s="4"/>
      <c r="J901" s="4"/>
      <c r="L901" s="4"/>
      <c r="M901" s="5"/>
      <c r="O901" s="4"/>
    </row>
    <row r="902" spans="9:15" ht="12.75" x14ac:dyDescent="0.2">
      <c r="I902" s="4"/>
      <c r="J902" s="4"/>
      <c r="L902" s="4"/>
      <c r="M902" s="5"/>
      <c r="O902" s="4"/>
    </row>
    <row r="903" spans="9:15" ht="12.75" x14ac:dyDescent="0.2">
      <c r="I903" s="4"/>
      <c r="J903" s="4"/>
      <c r="L903" s="4"/>
      <c r="M903" s="5"/>
      <c r="O903" s="4"/>
    </row>
    <row r="904" spans="9:15" ht="12.75" x14ac:dyDescent="0.2">
      <c r="I904" s="4"/>
      <c r="J904" s="4"/>
      <c r="L904" s="4"/>
      <c r="M904" s="5"/>
      <c r="O904" s="4"/>
    </row>
    <row r="905" spans="9:15" ht="12.75" x14ac:dyDescent="0.2">
      <c r="I905" s="4"/>
      <c r="J905" s="4"/>
      <c r="L905" s="4"/>
      <c r="M905" s="5"/>
      <c r="O905" s="4"/>
    </row>
    <row r="906" spans="9:15" ht="12.75" x14ac:dyDescent="0.2">
      <c r="I906" s="4"/>
      <c r="J906" s="4"/>
      <c r="L906" s="4"/>
      <c r="M906" s="5"/>
      <c r="O906" s="4"/>
    </row>
    <row r="907" spans="9:15" ht="12.75" x14ac:dyDescent="0.2">
      <c r="I907" s="4"/>
      <c r="J907" s="4"/>
      <c r="L907" s="4"/>
      <c r="M907" s="5"/>
      <c r="O907" s="4"/>
    </row>
    <row r="908" spans="9:15" ht="12.75" x14ac:dyDescent="0.2">
      <c r="I908" s="4"/>
      <c r="J908" s="4"/>
      <c r="L908" s="4"/>
      <c r="M908" s="5"/>
      <c r="O908" s="4"/>
    </row>
    <row r="909" spans="9:15" ht="12.75" x14ac:dyDescent="0.2">
      <c r="I909" s="4"/>
      <c r="J909" s="4"/>
      <c r="L909" s="4"/>
      <c r="M909" s="5"/>
      <c r="O909" s="4"/>
    </row>
    <row r="910" spans="9:15" ht="12.75" x14ac:dyDescent="0.2">
      <c r="I910" s="4"/>
      <c r="J910" s="4"/>
      <c r="L910" s="4"/>
      <c r="M910" s="5"/>
      <c r="O910" s="4"/>
    </row>
    <row r="911" spans="9:15" ht="12.75" x14ac:dyDescent="0.2">
      <c r="I911" s="4"/>
      <c r="J911" s="4"/>
      <c r="L911" s="4"/>
      <c r="M911" s="5"/>
      <c r="O911" s="4"/>
    </row>
    <row r="912" spans="9:15" ht="12.75" x14ac:dyDescent="0.2">
      <c r="I912" s="4"/>
      <c r="J912" s="4"/>
      <c r="L912" s="4"/>
      <c r="M912" s="5"/>
      <c r="O912" s="4"/>
    </row>
    <row r="913" spans="9:15" ht="12.75" x14ac:dyDescent="0.2">
      <c r="I913" s="4"/>
      <c r="J913" s="4"/>
      <c r="L913" s="4"/>
      <c r="M913" s="5"/>
      <c r="O913" s="4"/>
    </row>
    <row r="914" spans="9:15" ht="12.75" x14ac:dyDescent="0.2">
      <c r="I914" s="4"/>
      <c r="J914" s="4"/>
      <c r="L914" s="4"/>
      <c r="M914" s="5"/>
      <c r="O914" s="4"/>
    </row>
    <row r="915" spans="9:15" ht="12.75" x14ac:dyDescent="0.2">
      <c r="I915" s="4"/>
      <c r="J915" s="4"/>
      <c r="L915" s="4"/>
      <c r="M915" s="5"/>
      <c r="O915" s="4"/>
    </row>
    <row r="916" spans="9:15" ht="12.75" x14ac:dyDescent="0.2">
      <c r="I916" s="4"/>
      <c r="J916" s="4"/>
      <c r="L916" s="4"/>
      <c r="M916" s="5"/>
      <c r="O916" s="4"/>
    </row>
    <row r="917" spans="9:15" ht="12.75" x14ac:dyDescent="0.2">
      <c r="I917" s="4"/>
      <c r="J917" s="4"/>
      <c r="L917" s="4"/>
      <c r="M917" s="5"/>
      <c r="O917" s="4"/>
    </row>
    <row r="918" spans="9:15" ht="12.75" x14ac:dyDescent="0.2">
      <c r="I918" s="4"/>
      <c r="J918" s="4"/>
      <c r="L918" s="4"/>
      <c r="M918" s="5"/>
      <c r="O918" s="4"/>
    </row>
    <row r="919" spans="9:15" ht="12.75" x14ac:dyDescent="0.2">
      <c r="I919" s="4"/>
      <c r="J919" s="4"/>
      <c r="L919" s="4"/>
      <c r="M919" s="5"/>
      <c r="O919" s="4"/>
    </row>
    <row r="920" spans="9:15" ht="12.75" x14ac:dyDescent="0.2">
      <c r="I920" s="4"/>
      <c r="J920" s="4"/>
      <c r="L920" s="4"/>
      <c r="M920" s="5"/>
      <c r="O920" s="4"/>
    </row>
    <row r="921" spans="9:15" ht="12.75" x14ac:dyDescent="0.2">
      <c r="I921" s="4"/>
      <c r="J921" s="4"/>
      <c r="L921" s="4"/>
      <c r="M921" s="5"/>
      <c r="O921" s="4"/>
    </row>
    <row r="922" spans="9:15" ht="12.75" x14ac:dyDescent="0.2">
      <c r="I922" s="4"/>
      <c r="J922" s="4"/>
      <c r="L922" s="4"/>
      <c r="M922" s="5"/>
      <c r="O922" s="4"/>
    </row>
    <row r="923" spans="9:15" ht="12.75" x14ac:dyDescent="0.2">
      <c r="I923" s="4"/>
      <c r="J923" s="4"/>
      <c r="L923" s="4"/>
      <c r="M923" s="5"/>
      <c r="O923" s="4"/>
    </row>
    <row r="924" spans="9:15" ht="12.75" x14ac:dyDescent="0.2">
      <c r="I924" s="4"/>
      <c r="J924" s="4"/>
      <c r="L924" s="4"/>
      <c r="M924" s="5"/>
      <c r="O924" s="4"/>
    </row>
    <row r="925" spans="9:15" ht="12.75" x14ac:dyDescent="0.2">
      <c r="I925" s="4"/>
      <c r="J925" s="4"/>
      <c r="L925" s="4"/>
      <c r="M925" s="5"/>
      <c r="O925" s="4"/>
    </row>
    <row r="926" spans="9:15" ht="12.75" x14ac:dyDescent="0.2">
      <c r="I926" s="4"/>
      <c r="J926" s="4"/>
      <c r="L926" s="4"/>
      <c r="M926" s="5"/>
      <c r="O926" s="4"/>
    </row>
    <row r="927" spans="9:15" ht="12.75" x14ac:dyDescent="0.2">
      <c r="I927" s="4"/>
      <c r="J927" s="4"/>
      <c r="L927" s="4"/>
      <c r="M927" s="5"/>
      <c r="O927" s="4"/>
    </row>
    <row r="928" spans="9:15" ht="12.75" x14ac:dyDescent="0.2">
      <c r="I928" s="4"/>
      <c r="J928" s="4"/>
      <c r="L928" s="4"/>
      <c r="M928" s="5"/>
      <c r="O928" s="4"/>
    </row>
    <row r="929" spans="9:15" ht="12.75" x14ac:dyDescent="0.2">
      <c r="I929" s="4"/>
      <c r="J929" s="4"/>
      <c r="L929" s="4"/>
      <c r="M929" s="5"/>
      <c r="O929" s="4"/>
    </row>
    <row r="930" spans="9:15" ht="12.75" x14ac:dyDescent="0.2">
      <c r="I930" s="4"/>
      <c r="J930" s="4"/>
      <c r="L930" s="4"/>
      <c r="M930" s="5"/>
      <c r="O930" s="4"/>
    </row>
    <row r="931" spans="9:15" ht="12.75" x14ac:dyDescent="0.2">
      <c r="I931" s="4"/>
      <c r="J931" s="4"/>
      <c r="L931" s="4"/>
      <c r="M931" s="5"/>
      <c r="O931" s="4"/>
    </row>
    <row r="932" spans="9:15" ht="12.75" x14ac:dyDescent="0.2">
      <c r="I932" s="4"/>
      <c r="J932" s="4"/>
      <c r="L932" s="4"/>
      <c r="M932" s="5"/>
      <c r="O932" s="4"/>
    </row>
    <row r="933" spans="9:15" ht="12.75" x14ac:dyDescent="0.2">
      <c r="I933" s="4"/>
      <c r="J933" s="4"/>
      <c r="L933" s="4"/>
      <c r="M933" s="5"/>
      <c r="O933" s="4"/>
    </row>
    <row r="934" spans="9:15" ht="12.75" x14ac:dyDescent="0.2">
      <c r="I934" s="4"/>
      <c r="J934" s="4"/>
      <c r="L934" s="4"/>
      <c r="M934" s="5"/>
      <c r="O934" s="4"/>
    </row>
    <row r="935" spans="9:15" ht="12.75" x14ac:dyDescent="0.2">
      <c r="I935" s="4"/>
      <c r="J935" s="4"/>
      <c r="L935" s="4"/>
      <c r="M935" s="5"/>
      <c r="O935" s="4"/>
    </row>
    <row r="936" spans="9:15" ht="12.75" x14ac:dyDescent="0.2">
      <c r="I936" s="4"/>
      <c r="J936" s="4"/>
      <c r="L936" s="4"/>
      <c r="M936" s="5"/>
      <c r="O936" s="4"/>
    </row>
    <row r="937" spans="9:15" ht="12.75" x14ac:dyDescent="0.2">
      <c r="I937" s="4"/>
      <c r="J937" s="4"/>
      <c r="L937" s="4"/>
      <c r="M937" s="5"/>
      <c r="O937" s="4"/>
    </row>
    <row r="938" spans="9:15" ht="12.75" x14ac:dyDescent="0.2">
      <c r="I938" s="4"/>
      <c r="J938" s="4"/>
      <c r="L938" s="4"/>
      <c r="M938" s="5"/>
      <c r="O938" s="4"/>
    </row>
    <row r="939" spans="9:15" ht="12.75" x14ac:dyDescent="0.2">
      <c r="I939" s="4"/>
      <c r="J939" s="4"/>
      <c r="L939" s="4"/>
      <c r="M939" s="5"/>
      <c r="O939" s="4"/>
    </row>
    <row r="940" spans="9:15" ht="12.75" x14ac:dyDescent="0.2">
      <c r="I940" s="4"/>
      <c r="J940" s="4"/>
      <c r="L940" s="4"/>
      <c r="M940" s="5"/>
      <c r="O940" s="4"/>
    </row>
    <row r="941" spans="9:15" ht="12.75" x14ac:dyDescent="0.2">
      <c r="I941" s="4"/>
      <c r="J941" s="4"/>
      <c r="L941" s="4"/>
      <c r="M941" s="5"/>
      <c r="O941" s="4"/>
    </row>
    <row r="942" spans="9:15" ht="12.75" x14ac:dyDescent="0.2">
      <c r="I942" s="4"/>
      <c r="J942" s="4"/>
      <c r="L942" s="4"/>
      <c r="M942" s="5"/>
      <c r="O942" s="4"/>
    </row>
    <row r="943" spans="9:15" ht="12.75" x14ac:dyDescent="0.2">
      <c r="I943" s="4"/>
      <c r="J943" s="4"/>
      <c r="L943" s="4"/>
      <c r="M943" s="5"/>
      <c r="O943" s="4"/>
    </row>
    <row r="944" spans="9:15" ht="12.75" x14ac:dyDescent="0.2">
      <c r="I944" s="4"/>
      <c r="J944" s="4"/>
      <c r="L944" s="4"/>
      <c r="M944" s="5"/>
      <c r="O944" s="4"/>
    </row>
    <row r="945" spans="9:15" ht="12.75" x14ac:dyDescent="0.2">
      <c r="I945" s="4"/>
      <c r="J945" s="4"/>
      <c r="L945" s="4"/>
      <c r="M945" s="5"/>
      <c r="O945" s="4"/>
    </row>
    <row r="946" spans="9:15" ht="12.75" x14ac:dyDescent="0.2">
      <c r="I946" s="4"/>
      <c r="J946" s="4"/>
      <c r="L946" s="4"/>
      <c r="M946" s="5"/>
      <c r="O946" s="4"/>
    </row>
    <row r="947" spans="9:15" ht="12.75" x14ac:dyDescent="0.2">
      <c r="I947" s="4"/>
      <c r="J947" s="4"/>
      <c r="L947" s="4"/>
      <c r="M947" s="5"/>
      <c r="O947" s="4"/>
    </row>
    <row r="948" spans="9:15" ht="12.75" x14ac:dyDescent="0.2">
      <c r="I948" s="4"/>
      <c r="J948" s="4"/>
      <c r="L948" s="4"/>
      <c r="M948" s="5"/>
      <c r="O948" s="4"/>
    </row>
    <row r="949" spans="9:15" ht="12.75" x14ac:dyDescent="0.2">
      <c r="I949" s="4"/>
      <c r="J949" s="4"/>
      <c r="L949" s="4"/>
      <c r="M949" s="5"/>
      <c r="O949" s="4"/>
    </row>
    <row r="950" spans="9:15" ht="12.75" x14ac:dyDescent="0.2">
      <c r="I950" s="4"/>
      <c r="J950" s="4"/>
      <c r="L950" s="4"/>
      <c r="M950" s="5"/>
      <c r="O950" s="4"/>
    </row>
    <row r="951" spans="9:15" ht="12.75" x14ac:dyDescent="0.2">
      <c r="I951" s="4"/>
      <c r="J951" s="4"/>
      <c r="L951" s="4"/>
      <c r="M951" s="5"/>
      <c r="O951" s="4"/>
    </row>
    <row r="952" spans="9:15" ht="12.75" x14ac:dyDescent="0.2">
      <c r="I952" s="4"/>
      <c r="J952" s="4"/>
      <c r="L952" s="4"/>
      <c r="M952" s="5"/>
      <c r="O952" s="4"/>
    </row>
    <row r="953" spans="9:15" ht="12.75" x14ac:dyDescent="0.2">
      <c r="I953" s="4"/>
      <c r="J953" s="4"/>
      <c r="L953" s="4"/>
      <c r="M953" s="5"/>
      <c r="O953" s="4"/>
    </row>
    <row r="954" spans="9:15" ht="12.75" x14ac:dyDescent="0.2">
      <c r="I954" s="4"/>
      <c r="J954" s="4"/>
      <c r="L954" s="4"/>
      <c r="M954" s="5"/>
      <c r="O954" s="4"/>
    </row>
    <row r="955" spans="9:15" ht="12.75" x14ac:dyDescent="0.2">
      <c r="I955" s="4"/>
      <c r="J955" s="4"/>
      <c r="L955" s="4"/>
      <c r="M955" s="5"/>
      <c r="O955" s="4"/>
    </row>
    <row r="956" spans="9:15" ht="12.75" x14ac:dyDescent="0.2">
      <c r="I956" s="4"/>
      <c r="J956" s="4"/>
      <c r="L956" s="4"/>
      <c r="M956" s="5"/>
      <c r="O956" s="4"/>
    </row>
    <row r="957" spans="9:15" ht="12.75" x14ac:dyDescent="0.2">
      <c r="I957" s="4"/>
      <c r="J957" s="4"/>
      <c r="L957" s="4"/>
      <c r="M957" s="5"/>
      <c r="O957" s="4"/>
    </row>
    <row r="958" spans="9:15" ht="12.75" x14ac:dyDescent="0.2">
      <c r="I958" s="4"/>
      <c r="J958" s="4"/>
      <c r="L958" s="4"/>
      <c r="M958" s="5"/>
      <c r="O958" s="4"/>
    </row>
    <row r="959" spans="9:15" ht="12.75" x14ac:dyDescent="0.2">
      <c r="I959" s="4"/>
      <c r="J959" s="4"/>
      <c r="L959" s="4"/>
      <c r="M959" s="5"/>
      <c r="O959" s="4"/>
    </row>
    <row r="960" spans="9:15" ht="12.75" x14ac:dyDescent="0.2">
      <c r="I960" s="4"/>
      <c r="J960" s="4"/>
      <c r="L960" s="4"/>
      <c r="M960" s="5"/>
      <c r="O960" s="4"/>
    </row>
    <row r="961" spans="9:15" ht="12.75" x14ac:dyDescent="0.2">
      <c r="I961" s="4"/>
      <c r="J961" s="4"/>
      <c r="L961" s="4"/>
      <c r="M961" s="5"/>
      <c r="O961" s="4"/>
    </row>
    <row r="962" spans="9:15" ht="12.75" x14ac:dyDescent="0.2">
      <c r="I962" s="4"/>
      <c r="J962" s="4"/>
      <c r="L962" s="4"/>
      <c r="M962" s="5"/>
      <c r="O962" s="4"/>
    </row>
    <row r="963" spans="9:15" ht="12.75" x14ac:dyDescent="0.2">
      <c r="I963" s="4"/>
      <c r="J963" s="4"/>
      <c r="L963" s="4"/>
      <c r="M963" s="5"/>
      <c r="O963" s="4"/>
    </row>
    <row r="964" spans="9:15" ht="12.75" x14ac:dyDescent="0.2">
      <c r="I964" s="4"/>
      <c r="J964" s="4"/>
      <c r="L964" s="4"/>
      <c r="M964" s="5"/>
      <c r="O964" s="4"/>
    </row>
    <row r="965" spans="9:15" ht="12.75" x14ac:dyDescent="0.2">
      <c r="I965" s="4"/>
      <c r="J965" s="4"/>
      <c r="L965" s="4"/>
      <c r="M965" s="5"/>
      <c r="O965" s="4"/>
    </row>
    <row r="966" spans="9:15" ht="12.75" x14ac:dyDescent="0.2">
      <c r="I966" s="4"/>
      <c r="J966" s="4"/>
      <c r="L966" s="4"/>
      <c r="M966" s="5"/>
      <c r="O966" s="4"/>
    </row>
    <row r="967" spans="9:15" ht="12.75" x14ac:dyDescent="0.2">
      <c r="I967" s="4"/>
      <c r="J967" s="4"/>
      <c r="L967" s="4"/>
      <c r="M967" s="5"/>
      <c r="O967" s="4"/>
    </row>
    <row r="968" spans="9:15" ht="12.75" x14ac:dyDescent="0.2">
      <c r="I968" s="4"/>
      <c r="J968" s="4"/>
      <c r="L968" s="4"/>
      <c r="M968" s="5"/>
      <c r="O968" s="4"/>
    </row>
    <row r="969" spans="9:15" ht="12.75" x14ac:dyDescent="0.2">
      <c r="I969" s="4"/>
      <c r="J969" s="4"/>
      <c r="L969" s="4"/>
      <c r="M969" s="5"/>
      <c r="O969" s="4"/>
    </row>
    <row r="970" spans="9:15" ht="12.75" x14ac:dyDescent="0.2">
      <c r="I970" s="4"/>
      <c r="J970" s="4"/>
      <c r="L970" s="4"/>
      <c r="M970" s="5"/>
      <c r="O970" s="4"/>
    </row>
    <row r="971" spans="9:15" ht="12.75" x14ac:dyDescent="0.2">
      <c r="I971" s="4"/>
      <c r="J971" s="4"/>
      <c r="L971" s="4"/>
      <c r="M971" s="5"/>
      <c r="O971" s="4"/>
    </row>
    <row r="972" spans="9:15" ht="12.75" x14ac:dyDescent="0.2">
      <c r="I972" s="4"/>
      <c r="J972" s="4"/>
      <c r="L972" s="4"/>
      <c r="M972" s="5"/>
      <c r="O972" s="4"/>
    </row>
    <row r="973" spans="9:15" ht="12.75" x14ac:dyDescent="0.2">
      <c r="I973" s="4"/>
      <c r="J973" s="4"/>
      <c r="L973" s="4"/>
      <c r="M973" s="5"/>
      <c r="O973" s="4"/>
    </row>
    <row r="974" spans="9:15" ht="12.75" x14ac:dyDescent="0.2">
      <c r="I974" s="4"/>
      <c r="J974" s="4"/>
      <c r="L974" s="4"/>
      <c r="M974" s="5"/>
      <c r="O974" s="4"/>
    </row>
    <row r="975" spans="9:15" ht="12.75" x14ac:dyDescent="0.2">
      <c r="I975" s="4"/>
      <c r="J975" s="4"/>
      <c r="L975" s="4"/>
      <c r="M975" s="5"/>
      <c r="O975" s="4"/>
    </row>
    <row r="976" spans="9:15" ht="12.75" x14ac:dyDescent="0.2">
      <c r="I976" s="4"/>
      <c r="J976" s="4"/>
      <c r="L976" s="4"/>
      <c r="M976" s="5"/>
      <c r="O976" s="4"/>
    </row>
    <row r="977" spans="9:15" ht="12.75" x14ac:dyDescent="0.2">
      <c r="I977" s="4"/>
      <c r="J977" s="4"/>
      <c r="L977" s="4"/>
      <c r="M977" s="5"/>
      <c r="O977" s="4"/>
    </row>
    <row r="978" spans="9:15" ht="12.75" x14ac:dyDescent="0.2">
      <c r="I978" s="4"/>
      <c r="J978" s="4"/>
      <c r="L978" s="4"/>
      <c r="M978" s="5"/>
      <c r="O978" s="4"/>
    </row>
    <row r="979" spans="9:15" ht="12.75" x14ac:dyDescent="0.2">
      <c r="I979" s="4"/>
      <c r="J979" s="4"/>
      <c r="L979" s="4"/>
      <c r="M979" s="5"/>
      <c r="O979" s="4"/>
    </row>
    <row r="980" spans="9:15" ht="12.75" x14ac:dyDescent="0.2">
      <c r="I980" s="4"/>
      <c r="J980" s="4"/>
      <c r="L980" s="4"/>
      <c r="M980" s="5"/>
      <c r="O980" s="4"/>
    </row>
    <row r="981" spans="9:15" ht="12.75" x14ac:dyDescent="0.2">
      <c r="I981" s="4"/>
      <c r="J981" s="4"/>
      <c r="L981" s="4"/>
      <c r="M981" s="5"/>
      <c r="O981" s="4"/>
    </row>
    <row r="982" spans="9:15" ht="12.75" x14ac:dyDescent="0.2">
      <c r="I982" s="4"/>
      <c r="J982" s="4"/>
      <c r="L982" s="4"/>
      <c r="M982" s="5"/>
      <c r="O982" s="4"/>
    </row>
    <row r="983" spans="9:15" ht="12.75" x14ac:dyDescent="0.2">
      <c r="I983" s="4"/>
      <c r="J983" s="4"/>
      <c r="L983" s="4"/>
      <c r="M983" s="5"/>
      <c r="O983" s="4"/>
    </row>
    <row r="984" spans="9:15" ht="12.75" x14ac:dyDescent="0.2">
      <c r="I984" s="4"/>
      <c r="J984" s="4"/>
      <c r="L984" s="4"/>
      <c r="M984" s="5"/>
      <c r="O984" s="4"/>
    </row>
    <row r="985" spans="9:15" ht="12.75" x14ac:dyDescent="0.2">
      <c r="I985" s="4"/>
      <c r="J985" s="4"/>
      <c r="L985" s="4"/>
      <c r="M985" s="5"/>
      <c r="O985" s="4"/>
    </row>
    <row r="986" spans="9:15" ht="12.75" x14ac:dyDescent="0.2">
      <c r="I986" s="4"/>
      <c r="J986" s="4"/>
      <c r="L986" s="4"/>
      <c r="M986" s="5"/>
      <c r="O986" s="4"/>
    </row>
    <row r="987" spans="9:15" ht="12.75" x14ac:dyDescent="0.2">
      <c r="I987" s="4"/>
      <c r="J987" s="4"/>
      <c r="L987" s="4"/>
      <c r="M987" s="5"/>
      <c r="O987" s="4"/>
    </row>
    <row r="988" spans="9:15" ht="12.75" x14ac:dyDescent="0.2">
      <c r="I988" s="4"/>
      <c r="J988" s="4"/>
      <c r="L988" s="4"/>
      <c r="M988" s="5"/>
      <c r="O988" s="4"/>
    </row>
    <row r="989" spans="9:15" ht="12.75" x14ac:dyDescent="0.2">
      <c r="I989" s="4"/>
      <c r="J989" s="4"/>
      <c r="L989" s="4"/>
      <c r="M989" s="5"/>
      <c r="O989" s="4"/>
    </row>
    <row r="990" spans="9:15" ht="12.75" x14ac:dyDescent="0.2">
      <c r="I990" s="4"/>
      <c r="J990" s="4"/>
      <c r="L990" s="4"/>
      <c r="M990" s="5"/>
      <c r="O990" s="4"/>
    </row>
    <row r="991" spans="9:15" ht="12.75" x14ac:dyDescent="0.2">
      <c r="I991" s="4"/>
      <c r="J991" s="4"/>
      <c r="L991" s="4"/>
      <c r="M991" s="5"/>
      <c r="O991" s="4"/>
    </row>
    <row r="992" spans="9:15" ht="12.75" x14ac:dyDescent="0.2">
      <c r="I992" s="4"/>
      <c r="J992" s="4"/>
      <c r="L992" s="4"/>
      <c r="M992" s="5"/>
      <c r="O992" s="4"/>
    </row>
    <row r="993" spans="9:15" ht="12.75" x14ac:dyDescent="0.2">
      <c r="I993" s="4"/>
      <c r="J993" s="4"/>
      <c r="L993" s="4"/>
      <c r="M993" s="5"/>
      <c r="O993" s="4"/>
    </row>
    <row r="994" spans="9:15" ht="12.75" x14ac:dyDescent="0.2">
      <c r="I994" s="4"/>
      <c r="J994" s="4"/>
      <c r="L994" s="4"/>
      <c r="M994" s="5"/>
      <c r="O994" s="4"/>
    </row>
    <row r="995" spans="9:15" ht="12.75" x14ac:dyDescent="0.2">
      <c r="I995" s="4"/>
      <c r="J995" s="4"/>
      <c r="L995" s="4"/>
      <c r="M995" s="5"/>
      <c r="O995" s="4"/>
    </row>
    <row r="996" spans="9:15" ht="12.75" x14ac:dyDescent="0.2">
      <c r="I996" s="4"/>
      <c r="J996" s="4"/>
      <c r="L996" s="4"/>
      <c r="M996" s="5"/>
      <c r="O996" s="4"/>
    </row>
    <row r="997" spans="9:15" ht="12.75" x14ac:dyDescent="0.2">
      <c r="I997" s="4"/>
      <c r="J997" s="4"/>
      <c r="L997" s="4"/>
      <c r="M997" s="5"/>
      <c r="O997" s="4"/>
    </row>
    <row r="998" spans="9:15" ht="12.75" x14ac:dyDescent="0.2">
      <c r="I998" s="4"/>
      <c r="J998" s="4"/>
      <c r="L998" s="4"/>
      <c r="M998" s="5"/>
      <c r="O998" s="4"/>
    </row>
    <row r="999" spans="9:15" ht="12.75" x14ac:dyDescent="0.2">
      <c r="I999" s="4"/>
      <c r="J999" s="4"/>
      <c r="L999" s="4"/>
      <c r="M999" s="5"/>
      <c r="O999" s="4"/>
    </row>
    <row r="1000" spans="9:15" ht="12.75" x14ac:dyDescent="0.2">
      <c r="I1000" s="4"/>
      <c r="J1000" s="4"/>
      <c r="L1000" s="4"/>
      <c r="M1000" s="5"/>
      <c r="O1000" s="4"/>
    </row>
    <row r="1001" spans="9:15" ht="12.75" x14ac:dyDescent="0.2">
      <c r="I1001" s="4"/>
      <c r="J1001" s="4"/>
      <c r="L1001" s="4"/>
      <c r="M1001" s="5"/>
      <c r="O1001" s="4"/>
    </row>
    <row r="1002" spans="9:15" ht="12.75" x14ac:dyDescent="0.2">
      <c r="I1002" s="4"/>
      <c r="J1002" s="4"/>
      <c r="L1002" s="4"/>
      <c r="M1002" s="5"/>
      <c r="O1002" s="4"/>
    </row>
  </sheetData>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E6D5D-09C3-4F77-8CC1-EF3D6361EF7F}">
  <dimension ref="A3:E154"/>
  <sheetViews>
    <sheetView workbookViewId="0">
      <selection activeCell="H163" sqref="H163"/>
    </sheetView>
  </sheetViews>
  <sheetFormatPr defaultRowHeight="12.75" x14ac:dyDescent="0.2"/>
  <cols>
    <col min="1" max="1" width="45.85546875" bestFit="1" customWidth="1"/>
    <col min="2" max="2" width="13.140625" bestFit="1" customWidth="1"/>
    <col min="4" max="4" width="39" bestFit="1" customWidth="1"/>
  </cols>
  <sheetData>
    <row r="3" spans="1:5" x14ac:dyDescent="0.2">
      <c r="A3" s="17" t="s">
        <v>404</v>
      </c>
      <c r="B3" t="s">
        <v>403</v>
      </c>
    </row>
    <row r="4" spans="1:5" x14ac:dyDescent="0.2">
      <c r="A4" s="18" t="s">
        <v>34</v>
      </c>
      <c r="B4" s="19">
        <v>315049.15000000002</v>
      </c>
      <c r="D4" s="18" t="s">
        <v>34</v>
      </c>
      <c r="E4">
        <f>GETPIVOTDATA("Sales",$A$3,"Product","Government-United States of America-Paseo")</f>
        <v>315049.15000000002</v>
      </c>
    </row>
    <row r="5" spans="1:5" x14ac:dyDescent="0.2">
      <c r="A5" s="18" t="s">
        <v>26</v>
      </c>
      <c r="B5" s="19">
        <v>298881.69999999995</v>
      </c>
      <c r="D5" s="18" t="s">
        <v>26</v>
      </c>
      <c r="E5">
        <f>GETPIVOTDATA("Sales",$A$3,"Product","Government-Canada-Paseo")</f>
        <v>298881.69999999995</v>
      </c>
    </row>
    <row r="6" spans="1:5" x14ac:dyDescent="0.2">
      <c r="A6" s="18" t="s">
        <v>103</v>
      </c>
      <c r="B6" s="19">
        <v>280848.75</v>
      </c>
      <c r="D6" s="18" t="s">
        <v>103</v>
      </c>
      <c r="E6">
        <f>GETPIVOTDATA("Sales",$A$3,"Product","Enterprise-Mexico-VTT")</f>
        <v>280848.75</v>
      </c>
    </row>
    <row r="7" spans="1:5" x14ac:dyDescent="0.2">
      <c r="A7" s="18" t="s">
        <v>29</v>
      </c>
      <c r="B7" s="19">
        <v>278281.99000000005</v>
      </c>
      <c r="D7" s="18" t="s">
        <v>29</v>
      </c>
      <c r="E7">
        <f>GETPIVOTDATA("Sales",$A$3,"Product","Government-Germany-Paseo")</f>
        <v>278281.99000000005</v>
      </c>
    </row>
    <row r="8" spans="1:5" x14ac:dyDescent="0.2">
      <c r="A8" s="18" t="s">
        <v>32</v>
      </c>
      <c r="B8" s="19">
        <v>241130.1</v>
      </c>
      <c r="D8" s="18" t="s">
        <v>32</v>
      </c>
      <c r="E8">
        <f>GETPIVOTDATA("Sales",$A$3,"Product","Midmarket-France-Paseo")</f>
        <v>241130.1</v>
      </c>
    </row>
    <row r="9" spans="1:5" x14ac:dyDescent="0.2">
      <c r="A9" s="18" t="s">
        <v>31</v>
      </c>
      <c r="B9" s="19">
        <v>229847.94</v>
      </c>
      <c r="D9" s="18" t="s">
        <v>31</v>
      </c>
      <c r="E9">
        <f>GETPIVOTDATA("Sales",$A$3,"Product","Government-Mexico-Paseo")</f>
        <v>229847.94</v>
      </c>
    </row>
    <row r="10" spans="1:5" x14ac:dyDescent="0.2">
      <c r="A10" s="18" t="s">
        <v>56</v>
      </c>
      <c r="B10" s="19">
        <v>224499.18</v>
      </c>
      <c r="D10" s="18" t="s">
        <v>56</v>
      </c>
      <c r="E10">
        <f>GETPIVOTDATA("Sales",$A$3,"Product","Government-France-Paseo")</f>
        <v>224499.18</v>
      </c>
    </row>
    <row r="11" spans="1:5" x14ac:dyDescent="0.2">
      <c r="A11" s="18" t="s">
        <v>58</v>
      </c>
      <c r="B11" s="19">
        <v>224493.17</v>
      </c>
      <c r="D11" s="18" t="s">
        <v>58</v>
      </c>
      <c r="E11">
        <f>GETPIVOTDATA("Sales",$A$3,"Product","Government-France-Velo")</f>
        <v>224493.17</v>
      </c>
    </row>
    <row r="12" spans="1:5" x14ac:dyDescent="0.2">
      <c r="A12" s="18" t="s">
        <v>71</v>
      </c>
      <c r="B12" s="19">
        <v>221537.4</v>
      </c>
      <c r="D12" s="18" t="s">
        <v>71</v>
      </c>
      <c r="E12">
        <f>GETPIVOTDATA("Sales",$A$3,"Product","Midmarket-United States of America-Paseo")</f>
        <v>221537.4</v>
      </c>
    </row>
    <row r="13" spans="1:5" x14ac:dyDescent="0.2">
      <c r="A13" s="18" t="s">
        <v>36</v>
      </c>
      <c r="B13" s="19">
        <v>198132</v>
      </c>
      <c r="D13" s="18" t="s">
        <v>36</v>
      </c>
      <c r="E13">
        <f>GETPIVOTDATA("Sales",$A$3,"Product","Midmarket-Canada-Paseo")</f>
        <v>198132</v>
      </c>
    </row>
    <row r="14" spans="1:5" x14ac:dyDescent="0.2">
      <c r="A14" s="18" t="s">
        <v>99</v>
      </c>
      <c r="B14" s="19">
        <v>194933.75</v>
      </c>
    </row>
    <row r="15" spans="1:5" x14ac:dyDescent="0.2">
      <c r="A15" s="18" t="s">
        <v>93</v>
      </c>
      <c r="B15" s="19">
        <v>194502.5</v>
      </c>
    </row>
    <row r="16" spans="1:5" x14ac:dyDescent="0.2">
      <c r="A16" s="18" t="s">
        <v>105</v>
      </c>
      <c r="B16" s="19">
        <v>192068.27000000002</v>
      </c>
    </row>
    <row r="17" spans="1:2" x14ac:dyDescent="0.2">
      <c r="A17" s="18" t="s">
        <v>61</v>
      </c>
      <c r="B17" s="19">
        <v>184135.53000000003</v>
      </c>
    </row>
    <row r="18" spans="1:2" x14ac:dyDescent="0.2">
      <c r="A18" s="18" t="s">
        <v>73</v>
      </c>
      <c r="B18" s="19">
        <v>180991.25</v>
      </c>
    </row>
    <row r="19" spans="1:2" x14ac:dyDescent="0.2">
      <c r="A19" s="18" t="s">
        <v>77</v>
      </c>
      <c r="B19" s="19">
        <v>168951.97</v>
      </c>
    </row>
    <row r="20" spans="1:2" x14ac:dyDescent="0.2">
      <c r="A20" s="18" t="s">
        <v>28</v>
      </c>
      <c r="B20" s="19">
        <v>165020.04</v>
      </c>
    </row>
    <row r="21" spans="1:2" x14ac:dyDescent="0.2">
      <c r="A21" s="18" t="s">
        <v>69</v>
      </c>
      <c r="B21" s="19">
        <v>159382.41</v>
      </c>
    </row>
    <row r="22" spans="1:2" x14ac:dyDescent="0.2">
      <c r="A22" s="18" t="s">
        <v>98</v>
      </c>
      <c r="B22" s="19">
        <v>157768.65000000002</v>
      </c>
    </row>
    <row r="23" spans="1:2" x14ac:dyDescent="0.2">
      <c r="A23" s="18" t="s">
        <v>54</v>
      </c>
      <c r="B23" s="19">
        <v>157696.47999999998</v>
      </c>
    </row>
    <row r="24" spans="1:2" x14ac:dyDescent="0.2">
      <c r="A24" s="18" t="s">
        <v>121</v>
      </c>
      <c r="B24" s="19">
        <v>154809.09</v>
      </c>
    </row>
    <row r="25" spans="1:2" x14ac:dyDescent="0.2">
      <c r="A25" s="18" t="s">
        <v>38</v>
      </c>
      <c r="B25" s="19">
        <v>154043.75</v>
      </c>
    </row>
    <row r="26" spans="1:2" x14ac:dyDescent="0.2">
      <c r="A26" s="18" t="s">
        <v>19</v>
      </c>
      <c r="B26" s="19">
        <v>149689.46</v>
      </c>
    </row>
    <row r="27" spans="1:2" x14ac:dyDescent="0.2">
      <c r="A27" s="18" t="s">
        <v>49</v>
      </c>
      <c r="B27" s="19">
        <v>149175.5</v>
      </c>
    </row>
    <row r="28" spans="1:2" x14ac:dyDescent="0.2">
      <c r="A28" s="18" t="s">
        <v>27</v>
      </c>
      <c r="B28" s="19">
        <v>134240.4</v>
      </c>
    </row>
    <row r="29" spans="1:2" x14ac:dyDescent="0.2">
      <c r="A29" s="18" t="s">
        <v>45</v>
      </c>
      <c r="B29" s="19">
        <v>129816.45000000001</v>
      </c>
    </row>
    <row r="30" spans="1:2" x14ac:dyDescent="0.2">
      <c r="A30" s="18" t="s">
        <v>21</v>
      </c>
      <c r="B30" s="19">
        <v>127970.24999999999</v>
      </c>
    </row>
    <row r="31" spans="1:2" x14ac:dyDescent="0.2">
      <c r="A31" s="18" t="s">
        <v>132</v>
      </c>
      <c r="B31" s="19">
        <v>126091.20000000001</v>
      </c>
    </row>
    <row r="32" spans="1:2" x14ac:dyDescent="0.2">
      <c r="A32" s="18" t="s">
        <v>51</v>
      </c>
      <c r="B32" s="19">
        <v>123624.6</v>
      </c>
    </row>
    <row r="33" spans="1:2" x14ac:dyDescent="0.2">
      <c r="A33" s="18" t="s">
        <v>75</v>
      </c>
      <c r="B33" s="19">
        <v>112689.45</v>
      </c>
    </row>
    <row r="34" spans="1:2" x14ac:dyDescent="0.2">
      <c r="A34" s="18" t="s">
        <v>62</v>
      </c>
      <c r="B34" s="19">
        <v>110610.24000000001</v>
      </c>
    </row>
    <row r="35" spans="1:2" x14ac:dyDescent="0.2">
      <c r="A35" s="18" t="s">
        <v>94</v>
      </c>
      <c r="B35" s="19">
        <v>108600.77999999998</v>
      </c>
    </row>
    <row r="36" spans="1:2" x14ac:dyDescent="0.2">
      <c r="A36" s="18" t="s">
        <v>42</v>
      </c>
      <c r="B36" s="19">
        <v>107621.25</v>
      </c>
    </row>
    <row r="37" spans="1:2" x14ac:dyDescent="0.2">
      <c r="A37" s="18" t="s">
        <v>67</v>
      </c>
      <c r="B37" s="19">
        <v>105328.65</v>
      </c>
    </row>
    <row r="38" spans="1:2" x14ac:dyDescent="0.2">
      <c r="A38" s="18" t="s">
        <v>13</v>
      </c>
      <c r="B38" s="19">
        <v>104671.40000000001</v>
      </c>
    </row>
    <row r="39" spans="1:2" x14ac:dyDescent="0.2">
      <c r="A39" s="18" t="s">
        <v>50</v>
      </c>
      <c r="B39" s="19">
        <v>104399.5</v>
      </c>
    </row>
    <row r="40" spans="1:2" x14ac:dyDescent="0.2">
      <c r="A40" s="18" t="s">
        <v>128</v>
      </c>
      <c r="B40" s="19">
        <v>102864.34</v>
      </c>
    </row>
    <row r="41" spans="1:2" x14ac:dyDescent="0.2">
      <c r="A41" s="18" t="s">
        <v>24</v>
      </c>
      <c r="B41" s="19">
        <v>101149.76999999999</v>
      </c>
    </row>
    <row r="42" spans="1:2" x14ac:dyDescent="0.2">
      <c r="A42" s="18" t="s">
        <v>60</v>
      </c>
      <c r="B42" s="19">
        <v>98648.35</v>
      </c>
    </row>
    <row r="43" spans="1:2" x14ac:dyDescent="0.2">
      <c r="A43" s="18" t="s">
        <v>80</v>
      </c>
      <c r="B43" s="19">
        <v>97391.25</v>
      </c>
    </row>
    <row r="44" spans="1:2" x14ac:dyDescent="0.2">
      <c r="A44" s="18" t="s">
        <v>44</v>
      </c>
      <c r="B44" s="19">
        <v>97240.56</v>
      </c>
    </row>
    <row r="45" spans="1:2" x14ac:dyDescent="0.2">
      <c r="A45" s="18" t="s">
        <v>55</v>
      </c>
      <c r="B45" s="19">
        <v>95234.33</v>
      </c>
    </row>
    <row r="46" spans="1:2" x14ac:dyDescent="0.2">
      <c r="A46" s="18" t="s">
        <v>88</v>
      </c>
      <c r="B46" s="19">
        <v>94889.54</v>
      </c>
    </row>
    <row r="47" spans="1:2" x14ac:dyDescent="0.2">
      <c r="A47" s="18" t="s">
        <v>78</v>
      </c>
      <c r="B47" s="19">
        <v>91446.709999999992</v>
      </c>
    </row>
    <row r="48" spans="1:2" x14ac:dyDescent="0.2">
      <c r="A48" s="18" t="s">
        <v>83</v>
      </c>
      <c r="B48" s="19">
        <v>91346.719999999987</v>
      </c>
    </row>
    <row r="49" spans="1:2" x14ac:dyDescent="0.2">
      <c r="A49" s="18" t="s">
        <v>117</v>
      </c>
      <c r="B49" s="19">
        <v>91182</v>
      </c>
    </row>
    <row r="50" spans="1:2" x14ac:dyDescent="0.2">
      <c r="A50" s="18" t="s">
        <v>85</v>
      </c>
      <c r="B50" s="19">
        <v>90956.25</v>
      </c>
    </row>
    <row r="51" spans="1:2" x14ac:dyDescent="0.2">
      <c r="A51" s="18" t="s">
        <v>79</v>
      </c>
      <c r="B51" s="19">
        <v>89966.25</v>
      </c>
    </row>
    <row r="52" spans="1:2" x14ac:dyDescent="0.2">
      <c r="A52" s="18" t="s">
        <v>72</v>
      </c>
      <c r="B52" s="19">
        <v>89966.25</v>
      </c>
    </row>
    <row r="53" spans="1:2" x14ac:dyDescent="0.2">
      <c r="A53" s="18" t="s">
        <v>130</v>
      </c>
      <c r="B53" s="19">
        <v>88729.95</v>
      </c>
    </row>
    <row r="54" spans="1:2" x14ac:dyDescent="0.2">
      <c r="A54" s="18" t="s">
        <v>164</v>
      </c>
      <c r="B54" s="19">
        <v>88198.88</v>
      </c>
    </row>
    <row r="55" spans="1:2" x14ac:dyDescent="0.2">
      <c r="A55" s="18" t="s">
        <v>143</v>
      </c>
      <c r="B55" s="19">
        <v>87906</v>
      </c>
    </row>
    <row r="56" spans="1:2" x14ac:dyDescent="0.2">
      <c r="A56" s="18" t="s">
        <v>35</v>
      </c>
      <c r="B56" s="19">
        <v>83878.98</v>
      </c>
    </row>
    <row r="57" spans="1:2" x14ac:dyDescent="0.2">
      <c r="A57" s="18" t="s">
        <v>70</v>
      </c>
      <c r="B57" s="19">
        <v>82046.25</v>
      </c>
    </row>
    <row r="58" spans="1:2" x14ac:dyDescent="0.2">
      <c r="A58" s="18" t="s">
        <v>41</v>
      </c>
      <c r="B58" s="19">
        <v>82046.25</v>
      </c>
    </row>
    <row r="59" spans="1:2" x14ac:dyDescent="0.2">
      <c r="A59" s="18" t="s">
        <v>74</v>
      </c>
      <c r="B59" s="19">
        <v>81095</v>
      </c>
    </row>
    <row r="60" spans="1:2" x14ac:dyDescent="0.2">
      <c r="A60" s="18" t="s">
        <v>47</v>
      </c>
      <c r="B60" s="19">
        <v>79516.509999999995</v>
      </c>
    </row>
    <row r="61" spans="1:2" x14ac:dyDescent="0.2">
      <c r="A61" s="18" t="s">
        <v>16</v>
      </c>
      <c r="B61" s="19">
        <v>76821.75</v>
      </c>
    </row>
    <row r="62" spans="1:2" x14ac:dyDescent="0.2">
      <c r="A62" s="18" t="s">
        <v>106</v>
      </c>
      <c r="B62" s="19">
        <v>76146</v>
      </c>
    </row>
    <row r="63" spans="1:2" x14ac:dyDescent="0.2">
      <c r="A63" s="18" t="s">
        <v>11</v>
      </c>
      <c r="B63" s="19">
        <v>72867.149999999994</v>
      </c>
    </row>
    <row r="64" spans="1:2" x14ac:dyDescent="0.2">
      <c r="A64" s="18" t="s">
        <v>53</v>
      </c>
      <c r="B64" s="19">
        <v>72611.75</v>
      </c>
    </row>
    <row r="65" spans="1:2" x14ac:dyDescent="0.2">
      <c r="A65" s="18" t="s">
        <v>119</v>
      </c>
      <c r="B65" s="19">
        <v>72292.37999999999</v>
      </c>
    </row>
    <row r="66" spans="1:2" x14ac:dyDescent="0.2">
      <c r="A66" s="18" t="s">
        <v>37</v>
      </c>
      <c r="B66" s="19">
        <v>69505.440000000002</v>
      </c>
    </row>
    <row r="67" spans="1:2" x14ac:dyDescent="0.2">
      <c r="A67" s="18" t="s">
        <v>43</v>
      </c>
      <c r="B67" s="19">
        <v>69402</v>
      </c>
    </row>
    <row r="68" spans="1:2" x14ac:dyDescent="0.2">
      <c r="A68" s="18" t="s">
        <v>154</v>
      </c>
      <c r="B68" s="19">
        <v>69402</v>
      </c>
    </row>
    <row r="69" spans="1:2" x14ac:dyDescent="0.2">
      <c r="A69" s="18" t="s">
        <v>89</v>
      </c>
      <c r="B69" s="19">
        <v>68634.720000000001</v>
      </c>
    </row>
    <row r="70" spans="1:2" x14ac:dyDescent="0.2">
      <c r="A70" s="18" t="s">
        <v>160</v>
      </c>
      <c r="B70" s="19">
        <v>67177.56</v>
      </c>
    </row>
    <row r="71" spans="1:2" x14ac:dyDescent="0.2">
      <c r="A71" s="18" t="s">
        <v>40</v>
      </c>
      <c r="B71" s="19">
        <v>65939.820000000007</v>
      </c>
    </row>
    <row r="72" spans="1:2" x14ac:dyDescent="0.2">
      <c r="A72" s="18" t="s">
        <v>64</v>
      </c>
      <c r="B72" s="19">
        <v>65787.12</v>
      </c>
    </row>
    <row r="73" spans="1:2" x14ac:dyDescent="0.2">
      <c r="A73" s="18" t="s">
        <v>159</v>
      </c>
      <c r="B73" s="19">
        <v>65137.5</v>
      </c>
    </row>
    <row r="74" spans="1:2" x14ac:dyDescent="0.2">
      <c r="A74" s="18" t="s">
        <v>86</v>
      </c>
      <c r="B74" s="19">
        <v>62916</v>
      </c>
    </row>
    <row r="75" spans="1:2" x14ac:dyDescent="0.2">
      <c r="A75" s="18" t="s">
        <v>81</v>
      </c>
      <c r="B75" s="19">
        <v>62916</v>
      </c>
    </row>
    <row r="76" spans="1:2" x14ac:dyDescent="0.2">
      <c r="A76" s="18" t="s">
        <v>46</v>
      </c>
      <c r="B76" s="19">
        <v>62874</v>
      </c>
    </row>
    <row r="77" spans="1:2" x14ac:dyDescent="0.2">
      <c r="A77" s="18" t="s">
        <v>149</v>
      </c>
      <c r="B77" s="19">
        <v>62485.8</v>
      </c>
    </row>
    <row r="78" spans="1:2" x14ac:dyDescent="0.2">
      <c r="A78" s="18" t="s">
        <v>134</v>
      </c>
      <c r="B78" s="19">
        <v>62122.35</v>
      </c>
    </row>
    <row r="79" spans="1:2" x14ac:dyDescent="0.2">
      <c r="A79" s="18" t="s">
        <v>138</v>
      </c>
      <c r="B79" s="19">
        <v>60523.65</v>
      </c>
    </row>
    <row r="80" spans="1:2" x14ac:dyDescent="0.2">
      <c r="A80" s="18" t="s">
        <v>39</v>
      </c>
      <c r="B80" s="19">
        <v>60088.68</v>
      </c>
    </row>
    <row r="81" spans="1:2" x14ac:dyDescent="0.2">
      <c r="A81" s="18" t="s">
        <v>115</v>
      </c>
      <c r="B81" s="19">
        <v>58650</v>
      </c>
    </row>
    <row r="82" spans="1:2" x14ac:dyDescent="0.2">
      <c r="A82" s="18" t="s">
        <v>145</v>
      </c>
      <c r="B82" s="19">
        <v>58479.66</v>
      </c>
    </row>
    <row r="83" spans="1:2" x14ac:dyDescent="0.2">
      <c r="A83" s="18" t="s">
        <v>123</v>
      </c>
      <c r="B83" s="19">
        <v>58052.290000000008</v>
      </c>
    </row>
    <row r="84" spans="1:2" x14ac:dyDescent="0.2">
      <c r="A84" s="18" t="s">
        <v>116</v>
      </c>
      <c r="B84" s="19">
        <v>57994.8</v>
      </c>
    </row>
    <row r="85" spans="1:2" x14ac:dyDescent="0.2">
      <c r="A85" s="18" t="s">
        <v>18</v>
      </c>
      <c r="B85" s="19">
        <v>55561.32</v>
      </c>
    </row>
    <row r="86" spans="1:2" x14ac:dyDescent="0.2">
      <c r="A86" s="18" t="s">
        <v>97</v>
      </c>
      <c r="B86" s="19">
        <v>53551.799999999996</v>
      </c>
    </row>
    <row r="87" spans="1:2" x14ac:dyDescent="0.2">
      <c r="A87" s="18" t="s">
        <v>163</v>
      </c>
      <c r="B87" s="19">
        <v>52918.95</v>
      </c>
    </row>
    <row r="88" spans="1:2" x14ac:dyDescent="0.2">
      <c r="A88" s="18" t="s">
        <v>161</v>
      </c>
      <c r="B88" s="19">
        <v>51318.960000000006</v>
      </c>
    </row>
    <row r="89" spans="1:2" x14ac:dyDescent="0.2">
      <c r="A89" s="18" t="s">
        <v>140</v>
      </c>
      <c r="B89" s="19">
        <v>49756.649999999994</v>
      </c>
    </row>
    <row r="90" spans="1:2" x14ac:dyDescent="0.2">
      <c r="A90" s="18" t="s">
        <v>59</v>
      </c>
      <c r="B90" s="19">
        <v>48904.920000000006</v>
      </c>
    </row>
    <row r="91" spans="1:2" x14ac:dyDescent="0.2">
      <c r="A91" s="18" t="s">
        <v>110</v>
      </c>
      <c r="B91" s="19">
        <v>48264.36</v>
      </c>
    </row>
    <row r="92" spans="1:2" x14ac:dyDescent="0.2">
      <c r="A92" s="18" t="s">
        <v>136</v>
      </c>
      <c r="B92" s="19">
        <v>46264.5</v>
      </c>
    </row>
    <row r="93" spans="1:2" x14ac:dyDescent="0.2">
      <c r="A93" s="18" t="s">
        <v>20</v>
      </c>
      <c r="B93" s="19">
        <v>45238.8</v>
      </c>
    </row>
    <row r="94" spans="1:2" x14ac:dyDescent="0.2">
      <c r="A94" s="18" t="s">
        <v>156</v>
      </c>
      <c r="B94" s="19">
        <v>44741.03</v>
      </c>
    </row>
    <row r="95" spans="1:2" x14ac:dyDescent="0.2">
      <c r="A95" s="18" t="s">
        <v>87</v>
      </c>
      <c r="B95" s="19">
        <v>44145.36</v>
      </c>
    </row>
    <row r="96" spans="1:2" x14ac:dyDescent="0.2">
      <c r="A96" s="18" t="s">
        <v>30</v>
      </c>
      <c r="B96" s="19">
        <v>43462.8</v>
      </c>
    </row>
    <row r="97" spans="1:2" x14ac:dyDescent="0.2">
      <c r="A97" s="18" t="s">
        <v>157</v>
      </c>
      <c r="B97" s="19">
        <v>43259.28</v>
      </c>
    </row>
    <row r="98" spans="1:2" x14ac:dyDescent="0.2">
      <c r="A98" s="18" t="s">
        <v>22</v>
      </c>
      <c r="B98" s="19">
        <v>43125</v>
      </c>
    </row>
    <row r="99" spans="1:2" x14ac:dyDescent="0.2">
      <c r="A99" s="18" t="s">
        <v>63</v>
      </c>
      <c r="B99" s="19">
        <v>40837.5</v>
      </c>
    </row>
    <row r="100" spans="1:2" x14ac:dyDescent="0.2">
      <c r="A100" s="18" t="s">
        <v>155</v>
      </c>
      <c r="B100" s="19">
        <v>39780.720000000001</v>
      </c>
    </row>
    <row r="101" spans="1:2" x14ac:dyDescent="0.2">
      <c r="A101" s="18" t="s">
        <v>14</v>
      </c>
      <c r="B101" s="19">
        <v>39432</v>
      </c>
    </row>
    <row r="102" spans="1:2" x14ac:dyDescent="0.2">
      <c r="A102" s="18" t="s">
        <v>65</v>
      </c>
      <c r="B102" s="19">
        <v>39076.080000000002</v>
      </c>
    </row>
    <row r="103" spans="1:2" x14ac:dyDescent="0.2">
      <c r="A103" s="18" t="s">
        <v>125</v>
      </c>
      <c r="B103" s="19">
        <v>34315.32</v>
      </c>
    </row>
    <row r="104" spans="1:2" x14ac:dyDescent="0.2">
      <c r="A104" s="18" t="s">
        <v>101</v>
      </c>
      <c r="B104" s="19">
        <v>33886.44</v>
      </c>
    </row>
    <row r="105" spans="1:2" x14ac:dyDescent="0.2">
      <c r="A105" s="18" t="s">
        <v>114</v>
      </c>
      <c r="B105" s="19">
        <v>33035.64</v>
      </c>
    </row>
    <row r="106" spans="1:2" x14ac:dyDescent="0.2">
      <c r="A106" s="18" t="s">
        <v>15</v>
      </c>
      <c r="B106" s="19">
        <v>32837.699999999997</v>
      </c>
    </row>
    <row r="107" spans="1:2" x14ac:dyDescent="0.2">
      <c r="A107" s="18" t="s">
        <v>84</v>
      </c>
      <c r="B107" s="19">
        <v>32738.85</v>
      </c>
    </row>
    <row r="108" spans="1:2" x14ac:dyDescent="0.2">
      <c r="A108" s="18" t="s">
        <v>126</v>
      </c>
      <c r="B108" s="19">
        <v>32262.6</v>
      </c>
    </row>
    <row r="109" spans="1:2" x14ac:dyDescent="0.2">
      <c r="A109" s="18" t="s">
        <v>120</v>
      </c>
      <c r="B109" s="19">
        <v>30455.1</v>
      </c>
    </row>
    <row r="110" spans="1:2" x14ac:dyDescent="0.2">
      <c r="A110" s="18" t="s">
        <v>102</v>
      </c>
      <c r="B110" s="19">
        <v>28434</v>
      </c>
    </row>
    <row r="111" spans="1:2" x14ac:dyDescent="0.2">
      <c r="A111" s="18" t="s">
        <v>118</v>
      </c>
      <c r="B111" s="19">
        <v>26199.599999999999</v>
      </c>
    </row>
    <row r="112" spans="1:2" x14ac:dyDescent="0.2">
      <c r="A112" s="18" t="s">
        <v>17</v>
      </c>
      <c r="B112" s="19">
        <v>23626.799999999999</v>
      </c>
    </row>
    <row r="113" spans="1:2" x14ac:dyDescent="0.2">
      <c r="A113" s="18" t="s">
        <v>152</v>
      </c>
      <c r="B113" s="19">
        <v>23052.3</v>
      </c>
    </row>
    <row r="114" spans="1:2" x14ac:dyDescent="0.2">
      <c r="A114" s="18" t="s">
        <v>141</v>
      </c>
      <c r="B114" s="19">
        <v>22731.300000000003</v>
      </c>
    </row>
    <row r="115" spans="1:2" x14ac:dyDescent="0.2">
      <c r="A115" s="18" t="s">
        <v>129</v>
      </c>
      <c r="B115" s="19">
        <v>18573.75</v>
      </c>
    </row>
    <row r="116" spans="1:2" x14ac:dyDescent="0.2">
      <c r="A116" s="18" t="s">
        <v>133</v>
      </c>
      <c r="B116" s="19">
        <v>18460.32</v>
      </c>
    </row>
    <row r="117" spans="1:2" x14ac:dyDescent="0.2">
      <c r="A117" s="18" t="s">
        <v>25</v>
      </c>
      <c r="B117" s="19">
        <v>18161.400000000001</v>
      </c>
    </row>
    <row r="118" spans="1:2" x14ac:dyDescent="0.2">
      <c r="A118" s="18" t="s">
        <v>146</v>
      </c>
      <c r="B118" s="19">
        <v>0</v>
      </c>
    </row>
    <row r="119" spans="1:2" x14ac:dyDescent="0.2">
      <c r="A119" s="18" t="s">
        <v>23</v>
      </c>
      <c r="B119" s="19">
        <v>0</v>
      </c>
    </row>
    <row r="120" spans="1:2" x14ac:dyDescent="0.2">
      <c r="A120" s="18" t="s">
        <v>131</v>
      </c>
      <c r="B120" s="19">
        <v>0</v>
      </c>
    </row>
    <row r="121" spans="1:2" x14ac:dyDescent="0.2">
      <c r="A121" s="18" t="s">
        <v>52</v>
      </c>
      <c r="B121" s="19">
        <v>0</v>
      </c>
    </row>
    <row r="122" spans="1:2" x14ac:dyDescent="0.2">
      <c r="A122" s="18" t="s">
        <v>147</v>
      </c>
      <c r="B122" s="19">
        <v>0</v>
      </c>
    </row>
    <row r="123" spans="1:2" x14ac:dyDescent="0.2">
      <c r="A123" s="18" t="s">
        <v>111</v>
      </c>
      <c r="B123" s="19">
        <v>0</v>
      </c>
    </row>
    <row r="124" spans="1:2" x14ac:dyDescent="0.2">
      <c r="A124" s="18" t="s">
        <v>122</v>
      </c>
      <c r="B124" s="19">
        <v>0</v>
      </c>
    </row>
    <row r="125" spans="1:2" x14ac:dyDescent="0.2">
      <c r="A125" s="18" t="s">
        <v>104</v>
      </c>
      <c r="B125" s="19">
        <v>0</v>
      </c>
    </row>
    <row r="126" spans="1:2" x14ac:dyDescent="0.2">
      <c r="A126" s="18" t="s">
        <v>109</v>
      </c>
      <c r="B126" s="19">
        <v>0</v>
      </c>
    </row>
    <row r="127" spans="1:2" x14ac:dyDescent="0.2">
      <c r="A127" s="18" t="s">
        <v>107</v>
      </c>
      <c r="B127" s="19">
        <v>0</v>
      </c>
    </row>
    <row r="128" spans="1:2" x14ac:dyDescent="0.2">
      <c r="A128" s="18" t="s">
        <v>148</v>
      </c>
      <c r="B128" s="19">
        <v>0</v>
      </c>
    </row>
    <row r="129" spans="1:2" x14ac:dyDescent="0.2">
      <c r="A129" s="18" t="s">
        <v>151</v>
      </c>
      <c r="B129" s="19">
        <v>0</v>
      </c>
    </row>
    <row r="130" spans="1:2" x14ac:dyDescent="0.2">
      <c r="A130" s="18" t="s">
        <v>112</v>
      </c>
      <c r="B130" s="19">
        <v>0</v>
      </c>
    </row>
    <row r="131" spans="1:2" x14ac:dyDescent="0.2">
      <c r="A131" s="18" t="s">
        <v>96</v>
      </c>
      <c r="B131" s="19">
        <v>0</v>
      </c>
    </row>
    <row r="132" spans="1:2" x14ac:dyDescent="0.2">
      <c r="A132" s="18" t="s">
        <v>108</v>
      </c>
      <c r="B132" s="19">
        <v>0</v>
      </c>
    </row>
    <row r="133" spans="1:2" x14ac:dyDescent="0.2">
      <c r="A133" s="18" t="s">
        <v>48</v>
      </c>
      <c r="B133" s="19">
        <v>0</v>
      </c>
    </row>
    <row r="134" spans="1:2" x14ac:dyDescent="0.2">
      <c r="A134" s="18" t="s">
        <v>153</v>
      </c>
      <c r="B134" s="19">
        <v>0</v>
      </c>
    </row>
    <row r="135" spans="1:2" x14ac:dyDescent="0.2">
      <c r="A135" s="18" t="s">
        <v>100</v>
      </c>
      <c r="B135" s="19">
        <v>0</v>
      </c>
    </row>
    <row r="136" spans="1:2" x14ac:dyDescent="0.2">
      <c r="A136" s="18" t="s">
        <v>150</v>
      </c>
      <c r="B136" s="19">
        <v>0</v>
      </c>
    </row>
    <row r="137" spans="1:2" x14ac:dyDescent="0.2">
      <c r="A137" s="18" t="s">
        <v>92</v>
      </c>
      <c r="B137" s="19">
        <v>0</v>
      </c>
    </row>
    <row r="138" spans="1:2" x14ac:dyDescent="0.2">
      <c r="A138" s="18" t="s">
        <v>95</v>
      </c>
      <c r="B138" s="19">
        <v>0</v>
      </c>
    </row>
    <row r="139" spans="1:2" x14ac:dyDescent="0.2">
      <c r="A139" s="18" t="s">
        <v>113</v>
      </c>
      <c r="B139" s="19">
        <v>0</v>
      </c>
    </row>
    <row r="140" spans="1:2" x14ac:dyDescent="0.2">
      <c r="A140" s="18" t="s">
        <v>90</v>
      </c>
      <c r="B140" s="19">
        <v>0</v>
      </c>
    </row>
    <row r="141" spans="1:2" x14ac:dyDescent="0.2">
      <c r="A141" s="18" t="s">
        <v>66</v>
      </c>
      <c r="B141" s="19">
        <v>0</v>
      </c>
    </row>
    <row r="142" spans="1:2" x14ac:dyDescent="0.2">
      <c r="A142" s="18" t="s">
        <v>135</v>
      </c>
      <c r="B142" s="19">
        <v>0</v>
      </c>
    </row>
    <row r="143" spans="1:2" x14ac:dyDescent="0.2">
      <c r="A143" s="18" t="s">
        <v>33</v>
      </c>
      <c r="B143" s="19">
        <v>0</v>
      </c>
    </row>
    <row r="144" spans="1:2" x14ac:dyDescent="0.2">
      <c r="A144" s="18" t="s">
        <v>162</v>
      </c>
      <c r="B144" s="19">
        <v>0</v>
      </c>
    </row>
    <row r="145" spans="1:2" x14ac:dyDescent="0.2">
      <c r="A145" s="18" t="s">
        <v>82</v>
      </c>
      <c r="B145" s="19">
        <v>0</v>
      </c>
    </row>
    <row r="146" spans="1:2" x14ac:dyDescent="0.2">
      <c r="A146" s="18" t="s">
        <v>142</v>
      </c>
      <c r="B146" s="19">
        <v>0</v>
      </c>
    </row>
    <row r="147" spans="1:2" x14ac:dyDescent="0.2">
      <c r="A147" s="18" t="s">
        <v>127</v>
      </c>
      <c r="B147" s="19">
        <v>0</v>
      </c>
    </row>
    <row r="148" spans="1:2" x14ac:dyDescent="0.2">
      <c r="A148" s="18" t="s">
        <v>68</v>
      </c>
      <c r="B148" s="19">
        <v>0</v>
      </c>
    </row>
    <row r="149" spans="1:2" x14ac:dyDescent="0.2">
      <c r="A149" s="18" t="s">
        <v>76</v>
      </c>
      <c r="B149" s="19">
        <v>0</v>
      </c>
    </row>
    <row r="150" spans="1:2" x14ac:dyDescent="0.2">
      <c r="A150" s="18" t="s">
        <v>144</v>
      </c>
      <c r="B150" s="19">
        <v>0</v>
      </c>
    </row>
    <row r="151" spans="1:2" x14ac:dyDescent="0.2">
      <c r="A151" s="18" t="s">
        <v>91</v>
      </c>
      <c r="B151" s="19">
        <v>0</v>
      </c>
    </row>
    <row r="152" spans="1:2" x14ac:dyDescent="0.2">
      <c r="A152" s="18" t="s">
        <v>137</v>
      </c>
      <c r="B152" s="19">
        <v>0</v>
      </c>
    </row>
    <row r="153" spans="1:2" x14ac:dyDescent="0.2">
      <c r="A153" s="18" t="s">
        <v>139</v>
      </c>
      <c r="B153" s="19">
        <v>0</v>
      </c>
    </row>
    <row r="154" spans="1:2" x14ac:dyDescent="0.2">
      <c r="A154" s="18" t="s">
        <v>405</v>
      </c>
      <c r="B154" s="19">
        <v>10994473.910000002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A2BE6-AEDF-4F60-AFFB-B90F4B77447D}">
  <dimension ref="A1:K1002"/>
  <sheetViews>
    <sheetView workbookViewId="0">
      <selection activeCell="H163" sqref="H163"/>
    </sheetView>
  </sheetViews>
  <sheetFormatPr defaultColWidth="14.42578125" defaultRowHeight="12.75" x14ac:dyDescent="0.2"/>
  <cols>
    <col min="1" max="1" width="32.7109375" customWidth="1"/>
    <col min="2" max="2" width="16.140625" customWidth="1"/>
    <col min="3" max="3" width="14.42578125" customWidth="1"/>
    <col min="4" max="4" width="21.42578125" customWidth="1"/>
    <col min="5" max="9" width="14.42578125" customWidth="1"/>
    <col min="10" max="10" width="19.28515625" customWidth="1"/>
  </cols>
  <sheetData>
    <row r="1" spans="1:11" ht="15.75" customHeight="1" x14ac:dyDescent="0.2">
      <c r="A1" s="6" t="s">
        <v>0</v>
      </c>
      <c r="B1" s="6"/>
      <c r="C1" s="6"/>
      <c r="D1" s="6"/>
      <c r="E1" s="2"/>
      <c r="F1" s="2"/>
      <c r="G1" s="3"/>
      <c r="H1" s="2"/>
      <c r="I1" s="2"/>
      <c r="J1" s="6"/>
    </row>
    <row r="2" spans="1:11" ht="17.25" customHeight="1" x14ac:dyDescent="0.2">
      <c r="A2" s="6"/>
      <c r="B2" s="6"/>
      <c r="C2" s="6"/>
      <c r="D2" s="6"/>
      <c r="E2" s="2"/>
      <c r="F2" s="2"/>
      <c r="G2" s="3"/>
      <c r="H2" s="2"/>
      <c r="I2" s="2"/>
      <c r="J2" s="6"/>
    </row>
    <row r="3" spans="1:11" ht="15.75" customHeight="1" x14ac:dyDescent="0.2">
      <c r="A3" s="6" t="s">
        <v>1</v>
      </c>
      <c r="B3" s="6" t="s">
        <v>2</v>
      </c>
      <c r="C3" s="6" t="s">
        <v>3</v>
      </c>
      <c r="D3" s="6" t="s">
        <v>4</v>
      </c>
      <c r="E3" s="2" t="s">
        <v>5</v>
      </c>
      <c r="F3" s="2" t="s">
        <v>6</v>
      </c>
      <c r="G3" s="3" t="s">
        <v>7</v>
      </c>
      <c r="H3" s="2" t="s">
        <v>8</v>
      </c>
      <c r="I3" s="2" t="s">
        <v>9</v>
      </c>
      <c r="J3" s="6" t="s">
        <v>10</v>
      </c>
      <c r="K3" t="s">
        <v>1571</v>
      </c>
    </row>
    <row r="4" spans="1:11" ht="15.75" customHeight="1" x14ac:dyDescent="0.2">
      <c r="A4" s="32" t="s">
        <v>11</v>
      </c>
      <c r="B4" s="6" t="s">
        <v>12</v>
      </c>
      <c r="C4" s="6">
        <v>1618.5</v>
      </c>
      <c r="D4" s="33">
        <v>3</v>
      </c>
      <c r="E4" s="2">
        <v>20</v>
      </c>
      <c r="F4" s="2">
        <v>32370</v>
      </c>
      <c r="G4" s="3"/>
      <c r="H4" s="35">
        <v>32370</v>
      </c>
      <c r="I4" s="2">
        <v>16185</v>
      </c>
      <c r="J4" s="34">
        <v>41640</v>
      </c>
      <c r="K4">
        <f>_xlfn.NUMBERVALUE(SUBSTITUTE(H4," $","",1))</f>
        <v>32370</v>
      </c>
    </row>
    <row r="5" spans="1:11" ht="15.75" customHeight="1" x14ac:dyDescent="0.2">
      <c r="A5" s="32" t="s">
        <v>13</v>
      </c>
      <c r="B5" s="6" t="s">
        <v>12</v>
      </c>
      <c r="C5" s="6">
        <v>1321</v>
      </c>
      <c r="D5" s="33">
        <v>3</v>
      </c>
      <c r="E5" s="2">
        <v>20</v>
      </c>
      <c r="F5" s="2">
        <v>26420</v>
      </c>
      <c r="G5" s="3"/>
      <c r="H5" s="35">
        <v>26420</v>
      </c>
      <c r="I5" s="2">
        <v>13210</v>
      </c>
      <c r="J5" s="34">
        <v>41640</v>
      </c>
      <c r="K5">
        <f t="shared" ref="K5:K68" si="0">_xlfn.NUMBERVALUE(SUBSTITUTE(H5," $","",1))</f>
        <v>26420</v>
      </c>
    </row>
    <row r="6" spans="1:11" ht="15.75" customHeight="1" x14ac:dyDescent="0.2">
      <c r="A6" s="32" t="s">
        <v>14</v>
      </c>
      <c r="B6" s="6" t="s">
        <v>12</v>
      </c>
      <c r="C6" s="6">
        <v>2178</v>
      </c>
      <c r="D6" s="33">
        <v>3</v>
      </c>
      <c r="E6" s="2">
        <v>15</v>
      </c>
      <c r="F6" s="2">
        <v>32670</v>
      </c>
      <c r="G6" s="3"/>
      <c r="H6" s="35">
        <v>32670</v>
      </c>
      <c r="I6" s="2">
        <v>21780</v>
      </c>
      <c r="J6" s="34">
        <v>41645</v>
      </c>
      <c r="K6">
        <f t="shared" si="0"/>
        <v>32670</v>
      </c>
    </row>
    <row r="7" spans="1:11" ht="15.75" customHeight="1" x14ac:dyDescent="0.2">
      <c r="A7" s="32" t="s">
        <v>15</v>
      </c>
      <c r="B7" s="6" t="s">
        <v>12</v>
      </c>
      <c r="C7" s="6">
        <v>888</v>
      </c>
      <c r="D7" s="33">
        <v>3</v>
      </c>
      <c r="E7" s="2">
        <v>15</v>
      </c>
      <c r="F7" s="2">
        <v>13320</v>
      </c>
      <c r="G7" s="3"/>
      <c r="H7" s="35">
        <v>13320</v>
      </c>
      <c r="I7" s="2">
        <v>8880</v>
      </c>
      <c r="J7" s="34">
        <v>41645</v>
      </c>
      <c r="K7">
        <f t="shared" si="0"/>
        <v>13320</v>
      </c>
    </row>
    <row r="8" spans="1:11" ht="15.75" customHeight="1" x14ac:dyDescent="0.2">
      <c r="A8" s="32" t="s">
        <v>16</v>
      </c>
      <c r="B8" s="6" t="s">
        <v>12</v>
      </c>
      <c r="C8" s="6">
        <v>2470</v>
      </c>
      <c r="D8" s="33">
        <v>3</v>
      </c>
      <c r="E8" s="2">
        <v>15</v>
      </c>
      <c r="F8" s="2">
        <v>37050</v>
      </c>
      <c r="G8" s="3"/>
      <c r="H8" s="35">
        <v>37050</v>
      </c>
      <c r="I8" s="2">
        <v>24700</v>
      </c>
      <c r="J8" s="34">
        <v>41645</v>
      </c>
      <c r="K8">
        <f t="shared" si="0"/>
        <v>37050</v>
      </c>
    </row>
    <row r="9" spans="1:11" ht="15.75" customHeight="1" x14ac:dyDescent="0.2">
      <c r="A9" s="32" t="s">
        <v>13</v>
      </c>
      <c r="B9" s="6" t="s">
        <v>12</v>
      </c>
      <c r="C9" s="6">
        <v>1513</v>
      </c>
      <c r="D9" s="33">
        <v>3</v>
      </c>
      <c r="E9" s="2">
        <v>350</v>
      </c>
      <c r="F9" s="2" t="s">
        <v>448</v>
      </c>
      <c r="G9" s="3"/>
      <c r="H9" s="35" t="s">
        <v>448</v>
      </c>
      <c r="I9" s="2" t="s">
        <v>449</v>
      </c>
      <c r="J9" s="34">
        <v>41651</v>
      </c>
      <c r="K9">
        <f t="shared" si="0"/>
        <v>529550</v>
      </c>
    </row>
    <row r="10" spans="1:11" ht="15.75" customHeight="1" x14ac:dyDescent="0.2">
      <c r="A10" s="32" t="s">
        <v>17</v>
      </c>
      <c r="B10" s="6" t="s">
        <v>12</v>
      </c>
      <c r="C10" s="6">
        <v>921</v>
      </c>
      <c r="D10" s="33">
        <v>5</v>
      </c>
      <c r="E10" s="2">
        <v>15</v>
      </c>
      <c r="F10" s="2">
        <v>13815</v>
      </c>
      <c r="G10" s="3"/>
      <c r="H10" s="35">
        <v>13815</v>
      </c>
      <c r="I10" s="2">
        <v>9210</v>
      </c>
      <c r="J10" s="34">
        <v>41642</v>
      </c>
      <c r="K10">
        <f t="shared" si="0"/>
        <v>13815</v>
      </c>
    </row>
    <row r="11" spans="1:11" ht="15.75" customHeight="1" x14ac:dyDescent="0.2">
      <c r="A11" s="32" t="s">
        <v>18</v>
      </c>
      <c r="B11" s="6" t="s">
        <v>12</v>
      </c>
      <c r="C11" s="6">
        <v>2518</v>
      </c>
      <c r="D11" s="33">
        <v>5</v>
      </c>
      <c r="E11" s="2">
        <v>12</v>
      </c>
      <c r="F11" s="2">
        <v>30216</v>
      </c>
      <c r="G11" s="3"/>
      <c r="H11" s="35">
        <v>30216</v>
      </c>
      <c r="I11" s="2">
        <v>7554</v>
      </c>
      <c r="J11" s="34">
        <v>41645</v>
      </c>
      <c r="K11">
        <f t="shared" si="0"/>
        <v>30216</v>
      </c>
    </row>
    <row r="12" spans="1:11" ht="15.75" customHeight="1" x14ac:dyDescent="0.2">
      <c r="A12" s="32" t="s">
        <v>19</v>
      </c>
      <c r="B12" s="6" t="s">
        <v>12</v>
      </c>
      <c r="C12" s="6">
        <v>1899</v>
      </c>
      <c r="D12" s="33">
        <v>5</v>
      </c>
      <c r="E12" s="2">
        <v>20</v>
      </c>
      <c r="F12" s="2">
        <v>37980</v>
      </c>
      <c r="G12" s="3"/>
      <c r="H12" s="35">
        <v>37980</v>
      </c>
      <c r="I12" s="2">
        <v>18990</v>
      </c>
      <c r="J12" s="34">
        <v>41645</v>
      </c>
      <c r="K12">
        <f t="shared" si="0"/>
        <v>37980</v>
      </c>
    </row>
    <row r="13" spans="1:11" ht="15.75" customHeight="1" x14ac:dyDescent="0.2">
      <c r="A13" s="32" t="s">
        <v>20</v>
      </c>
      <c r="B13" s="6" t="s">
        <v>12</v>
      </c>
      <c r="C13" s="6">
        <v>1545</v>
      </c>
      <c r="D13" s="33">
        <v>5</v>
      </c>
      <c r="E13" s="2">
        <v>12</v>
      </c>
      <c r="F13" s="2">
        <v>18540</v>
      </c>
      <c r="G13" s="3"/>
      <c r="H13" s="35">
        <v>18540</v>
      </c>
      <c r="I13" s="2">
        <v>4635</v>
      </c>
      <c r="J13" s="34">
        <v>41645</v>
      </c>
      <c r="K13">
        <f t="shared" si="0"/>
        <v>18540</v>
      </c>
    </row>
    <row r="14" spans="1:11" ht="15.75" customHeight="1" x14ac:dyDescent="0.2">
      <c r="A14" s="32" t="s">
        <v>21</v>
      </c>
      <c r="B14" s="6" t="s">
        <v>12</v>
      </c>
      <c r="C14" s="6">
        <v>2470</v>
      </c>
      <c r="D14" s="33">
        <v>5</v>
      </c>
      <c r="E14" s="2">
        <v>15</v>
      </c>
      <c r="F14" s="2">
        <v>37050</v>
      </c>
      <c r="G14" s="3"/>
      <c r="H14" s="35">
        <v>37050</v>
      </c>
      <c r="I14" s="2">
        <v>24700</v>
      </c>
      <c r="J14" s="34">
        <v>41645</v>
      </c>
      <c r="K14">
        <f t="shared" si="0"/>
        <v>37050</v>
      </c>
    </row>
    <row r="15" spans="1:11" ht="15.75" customHeight="1" x14ac:dyDescent="0.2">
      <c r="A15" s="32" t="s">
        <v>22</v>
      </c>
      <c r="B15" s="6" t="s">
        <v>12</v>
      </c>
      <c r="C15" s="6">
        <v>2665.5</v>
      </c>
      <c r="D15" s="33">
        <v>5</v>
      </c>
      <c r="E15" s="2">
        <v>125</v>
      </c>
      <c r="F15" s="2" t="s">
        <v>450</v>
      </c>
      <c r="G15" s="3"/>
      <c r="H15" s="35" t="s">
        <v>450</v>
      </c>
      <c r="I15" s="2" t="s">
        <v>451</v>
      </c>
      <c r="J15" s="34">
        <v>41646</v>
      </c>
      <c r="K15">
        <f t="shared" si="0"/>
        <v>333187.5</v>
      </c>
    </row>
    <row r="16" spans="1:11" ht="15.75" customHeight="1" x14ac:dyDescent="0.2">
      <c r="A16" s="32" t="s">
        <v>23</v>
      </c>
      <c r="B16" s="6" t="s">
        <v>12</v>
      </c>
      <c r="C16" s="6">
        <v>958</v>
      </c>
      <c r="D16" s="33">
        <v>5</v>
      </c>
      <c r="E16" s="2">
        <v>300</v>
      </c>
      <c r="F16" s="2" t="s">
        <v>452</v>
      </c>
      <c r="G16" s="3"/>
      <c r="H16" s="35" t="s">
        <v>452</v>
      </c>
      <c r="I16" s="2" t="s">
        <v>453</v>
      </c>
      <c r="J16" s="34">
        <v>41647</v>
      </c>
      <c r="K16">
        <f t="shared" si="0"/>
        <v>287400</v>
      </c>
    </row>
    <row r="17" spans="1:11" ht="15.75" customHeight="1" x14ac:dyDescent="0.2">
      <c r="A17" s="32" t="s">
        <v>24</v>
      </c>
      <c r="B17" s="6" t="s">
        <v>12</v>
      </c>
      <c r="C17" s="6">
        <v>2146</v>
      </c>
      <c r="D17" s="33">
        <v>5</v>
      </c>
      <c r="E17" s="2">
        <v>7</v>
      </c>
      <c r="F17" s="2">
        <v>15022</v>
      </c>
      <c r="G17" s="3"/>
      <c r="H17" s="35">
        <v>15022</v>
      </c>
      <c r="I17" s="2">
        <v>10730</v>
      </c>
      <c r="J17" s="34">
        <v>41648</v>
      </c>
      <c r="K17">
        <f t="shared" si="0"/>
        <v>15022</v>
      </c>
    </row>
    <row r="18" spans="1:11" ht="15.75" customHeight="1" x14ac:dyDescent="0.2">
      <c r="A18" s="32" t="s">
        <v>22</v>
      </c>
      <c r="B18" s="6" t="s">
        <v>12</v>
      </c>
      <c r="C18" s="6">
        <v>345</v>
      </c>
      <c r="D18" s="33">
        <v>5</v>
      </c>
      <c r="E18" s="2">
        <v>125</v>
      </c>
      <c r="F18" s="2">
        <v>43125</v>
      </c>
      <c r="G18" s="3"/>
      <c r="H18" s="35">
        <v>43125</v>
      </c>
      <c r="I18" s="2">
        <v>41400</v>
      </c>
      <c r="J18" s="34">
        <v>41284</v>
      </c>
      <c r="K18">
        <f t="shared" si="0"/>
        <v>43125</v>
      </c>
    </row>
    <row r="19" spans="1:11" ht="15.75" customHeight="1" x14ac:dyDescent="0.2">
      <c r="A19" s="32" t="s">
        <v>25</v>
      </c>
      <c r="B19" s="6" t="s">
        <v>12</v>
      </c>
      <c r="C19" s="6">
        <v>615</v>
      </c>
      <c r="D19" s="33">
        <v>5</v>
      </c>
      <c r="E19" s="2">
        <v>15</v>
      </c>
      <c r="F19" s="2">
        <v>9225</v>
      </c>
      <c r="G19" s="3"/>
      <c r="H19" s="35">
        <v>9225</v>
      </c>
      <c r="I19" s="2">
        <v>6150</v>
      </c>
      <c r="J19" s="34">
        <v>41651</v>
      </c>
      <c r="K19">
        <f t="shared" si="0"/>
        <v>9225</v>
      </c>
    </row>
    <row r="20" spans="1:11" ht="15.75" customHeight="1" x14ac:dyDescent="0.2">
      <c r="A20" s="32" t="s">
        <v>26</v>
      </c>
      <c r="B20" s="6" t="s">
        <v>12</v>
      </c>
      <c r="C20" s="6">
        <v>292</v>
      </c>
      <c r="D20" s="33">
        <v>10</v>
      </c>
      <c r="E20" s="2">
        <v>20</v>
      </c>
      <c r="F20" s="2">
        <v>5840</v>
      </c>
      <c r="G20" s="3"/>
      <c r="H20" s="35">
        <v>5840</v>
      </c>
      <c r="I20" s="2">
        <v>2920</v>
      </c>
      <c r="J20" s="34">
        <v>41641</v>
      </c>
      <c r="K20">
        <f t="shared" si="0"/>
        <v>5840</v>
      </c>
    </row>
    <row r="21" spans="1:11" ht="15.75" customHeight="1" x14ac:dyDescent="0.2">
      <c r="A21" s="32" t="s">
        <v>27</v>
      </c>
      <c r="B21" s="6" t="s">
        <v>12</v>
      </c>
      <c r="C21" s="6">
        <v>974</v>
      </c>
      <c r="D21" s="33">
        <v>10</v>
      </c>
      <c r="E21" s="2">
        <v>15</v>
      </c>
      <c r="F21" s="2">
        <v>14610</v>
      </c>
      <c r="G21" s="3"/>
      <c r="H21" s="35">
        <v>14610</v>
      </c>
      <c r="I21" s="2">
        <v>9740</v>
      </c>
      <c r="J21" s="34">
        <v>41641</v>
      </c>
      <c r="K21">
        <f t="shared" si="0"/>
        <v>14610</v>
      </c>
    </row>
    <row r="22" spans="1:11" ht="15.75" customHeight="1" x14ac:dyDescent="0.2">
      <c r="A22" s="32" t="s">
        <v>28</v>
      </c>
      <c r="B22" s="6" t="s">
        <v>12</v>
      </c>
      <c r="C22" s="6">
        <v>2518</v>
      </c>
      <c r="D22" s="33">
        <v>10</v>
      </c>
      <c r="E22" s="2">
        <v>12</v>
      </c>
      <c r="F22" s="2">
        <v>30216</v>
      </c>
      <c r="G22" s="3"/>
      <c r="H22" s="35">
        <v>30216</v>
      </c>
      <c r="I22" s="2">
        <v>7554</v>
      </c>
      <c r="J22" s="34">
        <v>41645</v>
      </c>
      <c r="K22">
        <f t="shared" si="0"/>
        <v>30216</v>
      </c>
    </row>
    <row r="23" spans="1:11" ht="15.75" customHeight="1" x14ac:dyDescent="0.2">
      <c r="A23" s="32" t="s">
        <v>29</v>
      </c>
      <c r="B23" s="6" t="s">
        <v>12</v>
      </c>
      <c r="C23" s="6">
        <v>1006</v>
      </c>
      <c r="D23" s="33">
        <v>10</v>
      </c>
      <c r="E23" s="2">
        <v>350</v>
      </c>
      <c r="F23" s="2" t="s">
        <v>454</v>
      </c>
      <c r="G23" s="3"/>
      <c r="H23" s="35" t="s">
        <v>454</v>
      </c>
      <c r="I23" s="2" t="s">
        <v>455</v>
      </c>
      <c r="J23" s="34">
        <v>41645</v>
      </c>
      <c r="K23">
        <f t="shared" si="0"/>
        <v>352100</v>
      </c>
    </row>
    <row r="24" spans="1:11" ht="15.75" customHeight="1" x14ac:dyDescent="0.2">
      <c r="A24" s="32" t="s">
        <v>30</v>
      </c>
      <c r="B24" s="6" t="s">
        <v>12</v>
      </c>
      <c r="C24" s="6">
        <v>367</v>
      </c>
      <c r="D24" s="33">
        <v>10</v>
      </c>
      <c r="E24" s="2">
        <v>12</v>
      </c>
      <c r="F24" s="2">
        <v>4404</v>
      </c>
      <c r="G24" s="3"/>
      <c r="H24" s="35">
        <v>4404</v>
      </c>
      <c r="I24" s="2">
        <v>1101</v>
      </c>
      <c r="J24" s="34">
        <v>41646</v>
      </c>
      <c r="K24">
        <f t="shared" si="0"/>
        <v>4404</v>
      </c>
    </row>
    <row r="25" spans="1:11" x14ac:dyDescent="0.2">
      <c r="A25" s="32" t="s">
        <v>31</v>
      </c>
      <c r="B25" s="6" t="s">
        <v>12</v>
      </c>
      <c r="C25" s="6">
        <v>883</v>
      </c>
      <c r="D25" s="33">
        <v>10</v>
      </c>
      <c r="E25" s="2">
        <v>7</v>
      </c>
      <c r="F25" s="2">
        <v>6181</v>
      </c>
      <c r="G25" s="3"/>
      <c r="H25" s="35">
        <v>6181</v>
      </c>
      <c r="I25" s="2">
        <v>4415</v>
      </c>
      <c r="J25" s="34">
        <v>41647</v>
      </c>
      <c r="K25">
        <f t="shared" si="0"/>
        <v>6181</v>
      </c>
    </row>
    <row r="26" spans="1:11" x14ac:dyDescent="0.2">
      <c r="A26" s="32" t="s">
        <v>32</v>
      </c>
      <c r="B26" s="6" t="s">
        <v>12</v>
      </c>
      <c r="C26" s="6">
        <v>549</v>
      </c>
      <c r="D26" s="33">
        <v>10</v>
      </c>
      <c r="E26" s="2">
        <v>15</v>
      </c>
      <c r="F26" s="2">
        <v>8235</v>
      </c>
      <c r="G26" s="3"/>
      <c r="H26" s="35">
        <v>8235</v>
      </c>
      <c r="I26" s="2">
        <v>5490</v>
      </c>
      <c r="J26" s="34">
        <v>41283</v>
      </c>
      <c r="K26">
        <f t="shared" si="0"/>
        <v>8235</v>
      </c>
    </row>
    <row r="27" spans="1:11" x14ac:dyDescent="0.2">
      <c r="A27" s="32" t="s">
        <v>33</v>
      </c>
      <c r="B27" s="6" t="s">
        <v>12</v>
      </c>
      <c r="C27" s="6">
        <v>788</v>
      </c>
      <c r="D27" s="33">
        <v>10</v>
      </c>
      <c r="E27" s="2">
        <v>300</v>
      </c>
      <c r="F27" s="2" t="s">
        <v>456</v>
      </c>
      <c r="G27" s="3"/>
      <c r="H27" s="35" t="s">
        <v>456</v>
      </c>
      <c r="I27" s="2" t="s">
        <v>457</v>
      </c>
      <c r="J27" s="34">
        <v>41283</v>
      </c>
      <c r="K27">
        <f t="shared" si="0"/>
        <v>236400</v>
      </c>
    </row>
    <row r="28" spans="1:11" x14ac:dyDescent="0.2">
      <c r="A28" s="32" t="s">
        <v>27</v>
      </c>
      <c r="B28" s="6" t="s">
        <v>12</v>
      </c>
      <c r="C28" s="6">
        <v>2472</v>
      </c>
      <c r="D28" s="33">
        <v>10</v>
      </c>
      <c r="E28" s="2">
        <v>15</v>
      </c>
      <c r="F28" s="2">
        <v>37080</v>
      </c>
      <c r="G28" s="3"/>
      <c r="H28" s="35">
        <v>37080</v>
      </c>
      <c r="I28" s="2">
        <v>24720</v>
      </c>
      <c r="J28" s="34">
        <v>41648</v>
      </c>
      <c r="K28">
        <f t="shared" si="0"/>
        <v>37080</v>
      </c>
    </row>
    <row r="29" spans="1:11" x14ac:dyDescent="0.2">
      <c r="A29" s="32" t="s">
        <v>34</v>
      </c>
      <c r="B29" s="6" t="s">
        <v>12</v>
      </c>
      <c r="C29" s="6">
        <v>1143</v>
      </c>
      <c r="D29" s="33">
        <v>10</v>
      </c>
      <c r="E29" s="2">
        <v>7</v>
      </c>
      <c r="F29" s="2">
        <v>8001</v>
      </c>
      <c r="G29" s="3"/>
      <c r="H29" s="35">
        <v>8001</v>
      </c>
      <c r="I29" s="2">
        <v>5715</v>
      </c>
      <c r="J29" s="34">
        <v>41649</v>
      </c>
      <c r="K29">
        <f t="shared" si="0"/>
        <v>8001</v>
      </c>
    </row>
    <row r="30" spans="1:11" x14ac:dyDescent="0.2">
      <c r="A30" s="32" t="s">
        <v>26</v>
      </c>
      <c r="B30" s="6" t="s">
        <v>12</v>
      </c>
      <c r="C30" s="6">
        <v>1725</v>
      </c>
      <c r="D30" s="33">
        <v>10</v>
      </c>
      <c r="E30" s="2">
        <v>350</v>
      </c>
      <c r="F30" s="2" t="s">
        <v>458</v>
      </c>
      <c r="G30" s="3"/>
      <c r="H30" s="35" t="s">
        <v>458</v>
      </c>
      <c r="I30" s="2" t="s">
        <v>459</v>
      </c>
      <c r="J30" s="34">
        <v>41285</v>
      </c>
      <c r="K30">
        <f t="shared" si="0"/>
        <v>603750</v>
      </c>
    </row>
    <row r="31" spans="1:11" x14ac:dyDescent="0.2">
      <c r="A31" s="32" t="s">
        <v>35</v>
      </c>
      <c r="B31" s="6" t="s">
        <v>12</v>
      </c>
      <c r="C31" s="6">
        <v>912</v>
      </c>
      <c r="D31" s="33">
        <v>10</v>
      </c>
      <c r="E31" s="2">
        <v>12</v>
      </c>
      <c r="F31" s="2">
        <v>10944</v>
      </c>
      <c r="G31" s="3"/>
      <c r="H31" s="35">
        <v>10944</v>
      </c>
      <c r="I31" s="2">
        <v>2736</v>
      </c>
      <c r="J31" s="34">
        <v>41285</v>
      </c>
      <c r="K31">
        <f t="shared" si="0"/>
        <v>10944</v>
      </c>
    </row>
    <row r="32" spans="1:11" x14ac:dyDescent="0.2">
      <c r="A32" s="32" t="s">
        <v>36</v>
      </c>
      <c r="B32" s="6" t="s">
        <v>12</v>
      </c>
      <c r="C32" s="6">
        <v>2152</v>
      </c>
      <c r="D32" s="33">
        <v>10</v>
      </c>
      <c r="E32" s="2">
        <v>15</v>
      </c>
      <c r="F32" s="2">
        <v>32280</v>
      </c>
      <c r="G32" s="3"/>
      <c r="H32" s="35">
        <v>32280</v>
      </c>
      <c r="I32" s="2">
        <v>21520</v>
      </c>
      <c r="J32" s="34">
        <v>41286</v>
      </c>
      <c r="K32">
        <f t="shared" si="0"/>
        <v>32280</v>
      </c>
    </row>
    <row r="33" spans="1:11" x14ac:dyDescent="0.2">
      <c r="A33" s="32" t="s">
        <v>26</v>
      </c>
      <c r="B33" s="6" t="s">
        <v>12</v>
      </c>
      <c r="C33" s="6">
        <v>1817</v>
      </c>
      <c r="D33" s="33">
        <v>10</v>
      </c>
      <c r="E33" s="2">
        <v>20</v>
      </c>
      <c r="F33" s="2">
        <v>36340</v>
      </c>
      <c r="G33" s="3"/>
      <c r="H33" s="35">
        <v>36340</v>
      </c>
      <c r="I33" s="2">
        <v>18170</v>
      </c>
      <c r="J33" s="34">
        <v>41651</v>
      </c>
      <c r="K33">
        <f t="shared" si="0"/>
        <v>36340</v>
      </c>
    </row>
    <row r="34" spans="1:11" x14ac:dyDescent="0.2">
      <c r="A34" s="32" t="s">
        <v>29</v>
      </c>
      <c r="B34" s="6" t="s">
        <v>12</v>
      </c>
      <c r="C34" s="6">
        <v>1513</v>
      </c>
      <c r="D34" s="33">
        <v>10</v>
      </c>
      <c r="E34" s="2">
        <v>350</v>
      </c>
      <c r="F34" s="2" t="s">
        <v>448</v>
      </c>
      <c r="G34" s="3"/>
      <c r="H34" s="35" t="s">
        <v>448</v>
      </c>
      <c r="I34" s="2" t="s">
        <v>449</v>
      </c>
      <c r="J34" s="34">
        <v>41651</v>
      </c>
      <c r="K34">
        <f t="shared" si="0"/>
        <v>529550</v>
      </c>
    </row>
    <row r="35" spans="1:11" x14ac:dyDescent="0.2">
      <c r="A35" s="32" t="s">
        <v>37</v>
      </c>
      <c r="B35" s="6" t="s">
        <v>12</v>
      </c>
      <c r="C35" s="6">
        <v>1493</v>
      </c>
      <c r="D35" s="33">
        <v>120</v>
      </c>
      <c r="E35" s="2">
        <v>7</v>
      </c>
      <c r="F35" s="2">
        <v>10451</v>
      </c>
      <c r="G35" s="3"/>
      <c r="H35" s="35">
        <v>10451</v>
      </c>
      <c r="I35" s="2">
        <v>7465</v>
      </c>
      <c r="J35" s="34">
        <v>41640</v>
      </c>
      <c r="K35">
        <f t="shared" si="0"/>
        <v>10451</v>
      </c>
    </row>
    <row r="36" spans="1:11" x14ac:dyDescent="0.2">
      <c r="A36" s="32" t="s">
        <v>38</v>
      </c>
      <c r="B36" s="6" t="s">
        <v>12</v>
      </c>
      <c r="C36" s="6">
        <v>1804</v>
      </c>
      <c r="D36" s="33">
        <v>120</v>
      </c>
      <c r="E36" s="2">
        <v>125</v>
      </c>
      <c r="F36" s="2" t="s">
        <v>460</v>
      </c>
      <c r="G36" s="3"/>
      <c r="H36" s="35" t="s">
        <v>460</v>
      </c>
      <c r="I36" s="2" t="s">
        <v>461</v>
      </c>
      <c r="J36" s="34">
        <v>41641</v>
      </c>
      <c r="K36">
        <f t="shared" si="0"/>
        <v>225500</v>
      </c>
    </row>
    <row r="37" spans="1:11" x14ac:dyDescent="0.2">
      <c r="A37" s="32" t="s">
        <v>39</v>
      </c>
      <c r="B37" s="6" t="s">
        <v>12</v>
      </c>
      <c r="C37" s="6">
        <v>2161</v>
      </c>
      <c r="D37" s="33">
        <v>120</v>
      </c>
      <c r="E37" s="2">
        <v>12</v>
      </c>
      <c r="F37" s="2">
        <v>25932</v>
      </c>
      <c r="G37" s="3"/>
      <c r="H37" s="35">
        <v>25932</v>
      </c>
      <c r="I37" s="2">
        <v>6483</v>
      </c>
      <c r="J37" s="34">
        <v>41642</v>
      </c>
      <c r="K37">
        <f t="shared" si="0"/>
        <v>25932</v>
      </c>
    </row>
    <row r="38" spans="1:11" x14ac:dyDescent="0.2">
      <c r="A38" s="32" t="s">
        <v>40</v>
      </c>
      <c r="B38" s="6" t="s">
        <v>12</v>
      </c>
      <c r="C38" s="6">
        <v>1006</v>
      </c>
      <c r="D38" s="33">
        <v>120</v>
      </c>
      <c r="E38" s="2">
        <v>350</v>
      </c>
      <c r="F38" s="2" t="s">
        <v>454</v>
      </c>
      <c r="G38" s="3"/>
      <c r="H38" s="35" t="s">
        <v>454</v>
      </c>
      <c r="I38" s="2" t="s">
        <v>455</v>
      </c>
      <c r="J38" s="34">
        <v>41645</v>
      </c>
      <c r="K38">
        <f t="shared" si="0"/>
        <v>352100</v>
      </c>
    </row>
    <row r="39" spans="1:11" x14ac:dyDescent="0.2">
      <c r="A39" s="32" t="s">
        <v>39</v>
      </c>
      <c r="B39" s="6" t="s">
        <v>12</v>
      </c>
      <c r="C39" s="6">
        <v>1545</v>
      </c>
      <c r="D39" s="33">
        <v>120</v>
      </c>
      <c r="E39" s="2">
        <v>12</v>
      </c>
      <c r="F39" s="2">
        <v>18540</v>
      </c>
      <c r="G39" s="3"/>
      <c r="H39" s="35">
        <v>18540</v>
      </c>
      <c r="I39" s="2">
        <v>4635</v>
      </c>
      <c r="J39" s="34">
        <v>41645</v>
      </c>
      <c r="K39">
        <f t="shared" si="0"/>
        <v>18540</v>
      </c>
    </row>
    <row r="40" spans="1:11" x14ac:dyDescent="0.2">
      <c r="A40" s="32" t="s">
        <v>41</v>
      </c>
      <c r="B40" s="6" t="s">
        <v>12</v>
      </c>
      <c r="C40" s="6">
        <v>2821</v>
      </c>
      <c r="D40" s="33">
        <v>120</v>
      </c>
      <c r="E40" s="2">
        <v>125</v>
      </c>
      <c r="F40" s="2" t="s">
        <v>462</v>
      </c>
      <c r="G40" s="3"/>
      <c r="H40" s="35" t="s">
        <v>462</v>
      </c>
      <c r="I40" s="2" t="s">
        <v>463</v>
      </c>
      <c r="J40" s="34">
        <v>41647</v>
      </c>
      <c r="K40">
        <f t="shared" si="0"/>
        <v>352625</v>
      </c>
    </row>
    <row r="41" spans="1:11" x14ac:dyDescent="0.2">
      <c r="A41" s="32" t="s">
        <v>42</v>
      </c>
      <c r="B41" s="6" t="s">
        <v>12</v>
      </c>
      <c r="C41" s="6">
        <v>345</v>
      </c>
      <c r="D41" s="33">
        <v>120</v>
      </c>
      <c r="E41" s="2">
        <v>125</v>
      </c>
      <c r="F41" s="2">
        <v>43125</v>
      </c>
      <c r="G41" s="3"/>
      <c r="H41" s="35">
        <v>43125</v>
      </c>
      <c r="I41" s="2">
        <v>41400</v>
      </c>
      <c r="J41" s="34">
        <v>41284</v>
      </c>
      <c r="K41">
        <f t="shared" si="0"/>
        <v>43125</v>
      </c>
    </row>
    <row r="42" spans="1:11" x14ac:dyDescent="0.2">
      <c r="A42" s="32" t="s">
        <v>43</v>
      </c>
      <c r="B42" s="6" t="s">
        <v>12</v>
      </c>
      <c r="C42" s="6">
        <v>2001</v>
      </c>
      <c r="D42" s="33">
        <v>250</v>
      </c>
      <c r="E42" s="2">
        <v>300</v>
      </c>
      <c r="F42" s="2" t="s">
        <v>464</v>
      </c>
      <c r="G42" s="3"/>
      <c r="H42" s="35" t="s">
        <v>464</v>
      </c>
      <c r="I42" s="2" t="s">
        <v>465</v>
      </c>
      <c r="J42" s="34">
        <v>41641</v>
      </c>
      <c r="K42">
        <f t="shared" si="0"/>
        <v>600300</v>
      </c>
    </row>
    <row r="43" spans="1:11" x14ac:dyDescent="0.2">
      <c r="A43" s="32" t="s">
        <v>44</v>
      </c>
      <c r="B43" s="6" t="s">
        <v>12</v>
      </c>
      <c r="C43" s="6">
        <v>2838</v>
      </c>
      <c r="D43" s="33">
        <v>250</v>
      </c>
      <c r="E43" s="2">
        <v>12</v>
      </c>
      <c r="F43" s="2">
        <v>34056</v>
      </c>
      <c r="G43" s="3"/>
      <c r="H43" s="35">
        <v>34056</v>
      </c>
      <c r="I43" s="2">
        <v>8514</v>
      </c>
      <c r="J43" s="34">
        <v>41643</v>
      </c>
      <c r="K43">
        <f t="shared" si="0"/>
        <v>34056</v>
      </c>
    </row>
    <row r="44" spans="1:11" x14ac:dyDescent="0.2">
      <c r="A44" s="32" t="s">
        <v>45</v>
      </c>
      <c r="B44" s="6" t="s">
        <v>12</v>
      </c>
      <c r="C44" s="6">
        <v>2178</v>
      </c>
      <c r="D44" s="33">
        <v>250</v>
      </c>
      <c r="E44" s="2">
        <v>15</v>
      </c>
      <c r="F44" s="2">
        <v>32670</v>
      </c>
      <c r="G44" s="3"/>
      <c r="H44" s="35">
        <v>32670</v>
      </c>
      <c r="I44" s="2">
        <v>21780</v>
      </c>
      <c r="J44" s="34">
        <v>41645</v>
      </c>
      <c r="K44">
        <f t="shared" si="0"/>
        <v>32670</v>
      </c>
    </row>
    <row r="45" spans="1:11" x14ac:dyDescent="0.2">
      <c r="A45" s="32" t="s">
        <v>46</v>
      </c>
      <c r="B45" s="6" t="s">
        <v>12</v>
      </c>
      <c r="C45" s="6">
        <v>888</v>
      </c>
      <c r="D45" s="33">
        <v>250</v>
      </c>
      <c r="E45" s="2">
        <v>15</v>
      </c>
      <c r="F45" s="2">
        <v>13320</v>
      </c>
      <c r="G45" s="3"/>
      <c r="H45" s="35">
        <v>13320</v>
      </c>
      <c r="I45" s="2">
        <v>8880</v>
      </c>
      <c r="J45" s="34">
        <v>41645</v>
      </c>
      <c r="K45">
        <f t="shared" si="0"/>
        <v>13320</v>
      </c>
    </row>
    <row r="46" spans="1:11" x14ac:dyDescent="0.2">
      <c r="A46" s="32" t="s">
        <v>47</v>
      </c>
      <c r="B46" s="6" t="s">
        <v>12</v>
      </c>
      <c r="C46" s="6">
        <v>1527</v>
      </c>
      <c r="D46" s="33">
        <v>250</v>
      </c>
      <c r="E46" s="2">
        <v>350</v>
      </c>
      <c r="F46" s="2" t="s">
        <v>466</v>
      </c>
      <c r="G46" s="3"/>
      <c r="H46" s="35" t="s">
        <v>466</v>
      </c>
      <c r="I46" s="2" t="s">
        <v>467</v>
      </c>
      <c r="J46" s="34">
        <v>41283</v>
      </c>
      <c r="K46">
        <f t="shared" si="0"/>
        <v>534450</v>
      </c>
    </row>
    <row r="47" spans="1:11" x14ac:dyDescent="0.2">
      <c r="A47" s="32" t="s">
        <v>48</v>
      </c>
      <c r="B47" s="6" t="s">
        <v>12</v>
      </c>
      <c r="C47" s="6">
        <v>2151</v>
      </c>
      <c r="D47" s="33">
        <v>250</v>
      </c>
      <c r="E47" s="2">
        <v>300</v>
      </c>
      <c r="F47" s="2" t="s">
        <v>468</v>
      </c>
      <c r="G47" s="3"/>
      <c r="H47" s="35" t="s">
        <v>468</v>
      </c>
      <c r="I47" s="2" t="s">
        <v>469</v>
      </c>
      <c r="J47" s="34">
        <v>41648</v>
      </c>
      <c r="K47">
        <f t="shared" si="0"/>
        <v>645300</v>
      </c>
    </row>
    <row r="48" spans="1:11" x14ac:dyDescent="0.2">
      <c r="A48" s="32" t="s">
        <v>49</v>
      </c>
      <c r="B48" s="6" t="s">
        <v>12</v>
      </c>
      <c r="C48" s="6">
        <v>1817</v>
      </c>
      <c r="D48" s="33">
        <v>250</v>
      </c>
      <c r="E48" s="2">
        <v>20</v>
      </c>
      <c r="F48" s="2">
        <v>36340</v>
      </c>
      <c r="G48" s="3"/>
      <c r="H48" s="35">
        <v>36340</v>
      </c>
      <c r="I48" s="2">
        <v>18170</v>
      </c>
      <c r="J48" s="34">
        <v>41651</v>
      </c>
      <c r="K48">
        <f t="shared" si="0"/>
        <v>36340</v>
      </c>
    </row>
    <row r="49" spans="1:11" x14ac:dyDescent="0.2">
      <c r="A49" s="32" t="s">
        <v>50</v>
      </c>
      <c r="B49" s="6" t="s">
        <v>12</v>
      </c>
      <c r="C49" s="6">
        <v>2750</v>
      </c>
      <c r="D49" s="33">
        <v>260</v>
      </c>
      <c r="E49" s="2">
        <v>350</v>
      </c>
      <c r="F49" s="2" t="s">
        <v>470</v>
      </c>
      <c r="G49" s="3"/>
      <c r="H49" s="35" t="s">
        <v>470</v>
      </c>
      <c r="I49" s="2" t="s">
        <v>471</v>
      </c>
      <c r="J49" s="34">
        <v>41641</v>
      </c>
      <c r="K49">
        <f t="shared" si="0"/>
        <v>962500</v>
      </c>
    </row>
    <row r="50" spans="1:11" x14ac:dyDescent="0.2">
      <c r="A50" s="32" t="s">
        <v>51</v>
      </c>
      <c r="B50" s="6" t="s">
        <v>12</v>
      </c>
      <c r="C50" s="6">
        <v>1953</v>
      </c>
      <c r="D50" s="33">
        <v>260</v>
      </c>
      <c r="E50" s="2">
        <v>12</v>
      </c>
      <c r="F50" s="2">
        <v>23436</v>
      </c>
      <c r="G50" s="3"/>
      <c r="H50" s="35">
        <v>23436</v>
      </c>
      <c r="I50" s="2">
        <v>5859</v>
      </c>
      <c r="J50" s="34">
        <v>41643</v>
      </c>
      <c r="K50">
        <f t="shared" si="0"/>
        <v>23436</v>
      </c>
    </row>
    <row r="51" spans="1:11" x14ac:dyDescent="0.2">
      <c r="A51" s="32" t="s">
        <v>52</v>
      </c>
      <c r="B51" s="6" t="s">
        <v>12</v>
      </c>
      <c r="C51" s="6">
        <v>4219.5</v>
      </c>
      <c r="D51" s="33">
        <v>260</v>
      </c>
      <c r="E51" s="2">
        <v>125</v>
      </c>
      <c r="F51" s="2" t="s">
        <v>472</v>
      </c>
      <c r="G51" s="3"/>
      <c r="H51" s="35" t="s">
        <v>472</v>
      </c>
      <c r="I51" s="2" t="s">
        <v>473</v>
      </c>
      <c r="J51" s="34">
        <v>41643</v>
      </c>
      <c r="K51">
        <f t="shared" si="0"/>
        <v>527437.5</v>
      </c>
    </row>
    <row r="52" spans="1:11" x14ac:dyDescent="0.2">
      <c r="A52" s="32" t="s">
        <v>50</v>
      </c>
      <c r="B52" s="6" t="s">
        <v>12</v>
      </c>
      <c r="C52" s="6">
        <v>1899</v>
      </c>
      <c r="D52" s="33">
        <v>260</v>
      </c>
      <c r="E52" s="2">
        <v>20</v>
      </c>
      <c r="F52" s="2">
        <v>37980</v>
      </c>
      <c r="G52" s="3"/>
      <c r="H52" s="35">
        <v>37980</v>
      </c>
      <c r="I52" s="2">
        <v>18990</v>
      </c>
      <c r="J52" s="34">
        <v>41645</v>
      </c>
      <c r="K52">
        <f t="shared" si="0"/>
        <v>37980</v>
      </c>
    </row>
    <row r="53" spans="1:11" x14ac:dyDescent="0.2">
      <c r="A53" s="32" t="s">
        <v>53</v>
      </c>
      <c r="B53" s="6" t="s">
        <v>12</v>
      </c>
      <c r="C53" s="6">
        <v>1686</v>
      </c>
      <c r="D53" s="33">
        <v>260</v>
      </c>
      <c r="E53" s="2">
        <v>7</v>
      </c>
      <c r="F53" s="2">
        <v>11802</v>
      </c>
      <c r="G53" s="3"/>
      <c r="H53" s="35">
        <v>11802</v>
      </c>
      <c r="I53" s="2">
        <v>8430</v>
      </c>
      <c r="J53" s="34">
        <v>41646</v>
      </c>
      <c r="K53">
        <f t="shared" si="0"/>
        <v>11802</v>
      </c>
    </row>
    <row r="54" spans="1:11" x14ac:dyDescent="0.2">
      <c r="A54" s="32" t="s">
        <v>51</v>
      </c>
      <c r="B54" s="6" t="s">
        <v>12</v>
      </c>
      <c r="C54" s="6">
        <v>2141</v>
      </c>
      <c r="D54" s="33">
        <v>260</v>
      </c>
      <c r="E54" s="2">
        <v>12</v>
      </c>
      <c r="F54" s="2">
        <v>25692</v>
      </c>
      <c r="G54" s="3"/>
      <c r="H54" s="35">
        <v>25692</v>
      </c>
      <c r="I54" s="2">
        <v>6423</v>
      </c>
      <c r="J54" s="34">
        <v>41647</v>
      </c>
      <c r="K54">
        <f t="shared" si="0"/>
        <v>25692</v>
      </c>
    </row>
    <row r="55" spans="1:11" x14ac:dyDescent="0.2">
      <c r="A55" s="32" t="s">
        <v>54</v>
      </c>
      <c r="B55" s="6" t="s">
        <v>12</v>
      </c>
      <c r="C55" s="6">
        <v>1143</v>
      </c>
      <c r="D55" s="33">
        <v>260</v>
      </c>
      <c r="E55" s="2">
        <v>7</v>
      </c>
      <c r="F55" s="2">
        <v>8001</v>
      </c>
      <c r="G55" s="3"/>
      <c r="H55" s="35">
        <v>8001</v>
      </c>
      <c r="I55" s="2">
        <v>5715</v>
      </c>
      <c r="J55" s="34">
        <v>41649</v>
      </c>
      <c r="K55">
        <f t="shared" si="0"/>
        <v>8001</v>
      </c>
    </row>
    <row r="56" spans="1:11" x14ac:dyDescent="0.2">
      <c r="A56" s="32" t="s">
        <v>55</v>
      </c>
      <c r="B56" s="6" t="s">
        <v>12</v>
      </c>
      <c r="C56" s="6">
        <v>615</v>
      </c>
      <c r="D56" s="33">
        <v>260</v>
      </c>
      <c r="E56" s="2">
        <v>15</v>
      </c>
      <c r="F56" s="2">
        <v>9225</v>
      </c>
      <c r="G56" s="3"/>
      <c r="H56" s="35">
        <v>9225</v>
      </c>
      <c r="I56" s="2">
        <v>6150</v>
      </c>
      <c r="J56" s="34">
        <v>41651</v>
      </c>
      <c r="K56">
        <f t="shared" si="0"/>
        <v>9225</v>
      </c>
    </row>
    <row r="57" spans="1:11" x14ac:dyDescent="0.2">
      <c r="A57" s="32" t="s">
        <v>56</v>
      </c>
      <c r="B57" s="6" t="s">
        <v>57</v>
      </c>
      <c r="C57" s="6">
        <v>3945</v>
      </c>
      <c r="D57" s="33">
        <v>10</v>
      </c>
      <c r="E57" s="2">
        <v>7</v>
      </c>
      <c r="F57" s="2">
        <v>27615</v>
      </c>
      <c r="G57" s="3" t="s">
        <v>474</v>
      </c>
      <c r="H57" s="35">
        <v>27338.85</v>
      </c>
      <c r="I57" s="2">
        <v>19725</v>
      </c>
      <c r="J57" s="34">
        <v>41640</v>
      </c>
      <c r="K57">
        <f t="shared" si="0"/>
        <v>27338.85</v>
      </c>
    </row>
    <row r="58" spans="1:11" x14ac:dyDescent="0.2">
      <c r="A58" s="32" t="s">
        <v>32</v>
      </c>
      <c r="B58" s="6" t="s">
        <v>57</v>
      </c>
      <c r="C58" s="6">
        <v>2296</v>
      </c>
      <c r="D58" s="33">
        <v>10</v>
      </c>
      <c r="E58" s="2">
        <v>15</v>
      </c>
      <c r="F58" s="2">
        <v>34440</v>
      </c>
      <c r="G58" s="3" t="s">
        <v>475</v>
      </c>
      <c r="H58" s="35">
        <v>34095.599999999999</v>
      </c>
      <c r="I58" s="2">
        <v>22960</v>
      </c>
      <c r="J58" s="34">
        <v>41641</v>
      </c>
      <c r="K58">
        <f t="shared" si="0"/>
        <v>34095.599999999999</v>
      </c>
    </row>
    <row r="59" spans="1:11" x14ac:dyDescent="0.2">
      <c r="A59" s="32" t="s">
        <v>56</v>
      </c>
      <c r="B59" s="6" t="s">
        <v>57</v>
      </c>
      <c r="C59" s="6">
        <v>1030</v>
      </c>
      <c r="D59" s="33">
        <v>10</v>
      </c>
      <c r="E59" s="2">
        <v>7</v>
      </c>
      <c r="F59" s="2">
        <v>7210</v>
      </c>
      <c r="G59" s="3" t="s">
        <v>476</v>
      </c>
      <c r="H59" s="35">
        <v>7137.9</v>
      </c>
      <c r="I59" s="2">
        <v>5150</v>
      </c>
      <c r="J59" s="34">
        <v>41644</v>
      </c>
      <c r="K59">
        <f t="shared" si="0"/>
        <v>7137.9</v>
      </c>
    </row>
    <row r="60" spans="1:11" x14ac:dyDescent="0.2">
      <c r="A60" s="32" t="s">
        <v>58</v>
      </c>
      <c r="B60" s="6" t="s">
        <v>57</v>
      </c>
      <c r="C60" s="6">
        <v>639</v>
      </c>
      <c r="D60" s="33">
        <v>120</v>
      </c>
      <c r="E60" s="2">
        <v>7</v>
      </c>
      <c r="F60" s="2">
        <v>4473</v>
      </c>
      <c r="G60" s="3" t="s">
        <v>477</v>
      </c>
      <c r="H60" s="35">
        <v>4428.2700000000004</v>
      </c>
      <c r="I60" s="2">
        <v>3195</v>
      </c>
      <c r="J60" s="34">
        <v>41650</v>
      </c>
      <c r="K60">
        <f t="shared" si="0"/>
        <v>4428.2700000000004</v>
      </c>
    </row>
    <row r="61" spans="1:11" x14ac:dyDescent="0.2">
      <c r="A61" s="32" t="s">
        <v>49</v>
      </c>
      <c r="B61" s="6" t="s">
        <v>57</v>
      </c>
      <c r="C61" s="6">
        <v>1326</v>
      </c>
      <c r="D61" s="33">
        <v>250</v>
      </c>
      <c r="E61" s="2">
        <v>7</v>
      </c>
      <c r="F61" s="2">
        <v>9282</v>
      </c>
      <c r="G61" s="3" t="s">
        <v>478</v>
      </c>
      <c r="H61" s="35">
        <v>9189.18</v>
      </c>
      <c r="I61" s="2">
        <v>6630</v>
      </c>
      <c r="J61" s="34">
        <v>41642</v>
      </c>
      <c r="K61">
        <f t="shared" si="0"/>
        <v>9189.18</v>
      </c>
    </row>
    <row r="62" spans="1:11" x14ac:dyDescent="0.2">
      <c r="A62" s="32" t="s">
        <v>59</v>
      </c>
      <c r="B62" s="6" t="s">
        <v>57</v>
      </c>
      <c r="C62" s="6">
        <v>1858</v>
      </c>
      <c r="D62" s="33">
        <v>3</v>
      </c>
      <c r="E62" s="2">
        <v>12</v>
      </c>
      <c r="F62" s="2">
        <v>22296</v>
      </c>
      <c r="G62" s="3" t="s">
        <v>479</v>
      </c>
      <c r="H62" s="35">
        <v>22073.040000000001</v>
      </c>
      <c r="I62" s="2">
        <v>5574</v>
      </c>
      <c r="J62" s="34">
        <v>41641</v>
      </c>
      <c r="K62">
        <f t="shared" si="0"/>
        <v>22073.040000000001</v>
      </c>
    </row>
    <row r="63" spans="1:11" x14ac:dyDescent="0.2">
      <c r="A63" s="32" t="s">
        <v>60</v>
      </c>
      <c r="B63" s="6" t="s">
        <v>57</v>
      </c>
      <c r="C63" s="6">
        <v>1210</v>
      </c>
      <c r="D63" s="33">
        <v>3</v>
      </c>
      <c r="E63" s="2">
        <v>350</v>
      </c>
      <c r="F63" s="2" t="s">
        <v>480</v>
      </c>
      <c r="G63" s="3" t="s">
        <v>481</v>
      </c>
      <c r="H63" s="35" t="s">
        <v>482</v>
      </c>
      <c r="I63" s="2" t="s">
        <v>483</v>
      </c>
      <c r="J63" s="34">
        <v>41642</v>
      </c>
      <c r="K63">
        <f t="shared" si="0"/>
        <v>419265</v>
      </c>
    </row>
    <row r="64" spans="1:11" x14ac:dyDescent="0.2">
      <c r="A64" s="32" t="s">
        <v>61</v>
      </c>
      <c r="B64" s="6" t="s">
        <v>57</v>
      </c>
      <c r="C64" s="6">
        <v>2529</v>
      </c>
      <c r="D64" s="33">
        <v>3</v>
      </c>
      <c r="E64" s="2">
        <v>7</v>
      </c>
      <c r="F64" s="2">
        <v>17703</v>
      </c>
      <c r="G64" s="3" t="s">
        <v>484</v>
      </c>
      <c r="H64" s="35">
        <v>17525.97</v>
      </c>
      <c r="I64" s="2">
        <v>12645</v>
      </c>
      <c r="J64" s="34">
        <v>41646</v>
      </c>
      <c r="K64">
        <f t="shared" si="0"/>
        <v>17525.97</v>
      </c>
    </row>
    <row r="65" spans="1:11" x14ac:dyDescent="0.2">
      <c r="A65" s="32" t="s">
        <v>62</v>
      </c>
      <c r="B65" s="6" t="s">
        <v>57</v>
      </c>
      <c r="C65" s="6">
        <v>1445</v>
      </c>
      <c r="D65" s="33">
        <v>3</v>
      </c>
      <c r="E65" s="2">
        <v>12</v>
      </c>
      <c r="F65" s="2">
        <v>17340</v>
      </c>
      <c r="G65" s="3" t="s">
        <v>485</v>
      </c>
      <c r="H65" s="35">
        <v>17166.599999999999</v>
      </c>
      <c r="I65" s="2">
        <v>4335</v>
      </c>
      <c r="J65" s="34">
        <v>41648</v>
      </c>
      <c r="K65">
        <f t="shared" si="0"/>
        <v>17166.599999999999</v>
      </c>
    </row>
    <row r="66" spans="1:11" x14ac:dyDescent="0.2">
      <c r="A66" s="32" t="s">
        <v>63</v>
      </c>
      <c r="B66" s="6" t="s">
        <v>57</v>
      </c>
      <c r="C66" s="6">
        <v>330</v>
      </c>
      <c r="D66" s="33">
        <v>3</v>
      </c>
      <c r="E66" s="2">
        <v>125</v>
      </c>
      <c r="F66" s="2">
        <v>41250</v>
      </c>
      <c r="G66" s="3" t="s">
        <v>486</v>
      </c>
      <c r="H66" s="35">
        <v>40837.5</v>
      </c>
      <c r="I66" s="2">
        <v>39600</v>
      </c>
      <c r="J66" s="34">
        <v>41283</v>
      </c>
      <c r="K66">
        <f t="shared" si="0"/>
        <v>40837.5</v>
      </c>
    </row>
    <row r="67" spans="1:11" x14ac:dyDescent="0.2">
      <c r="A67" s="32" t="s">
        <v>64</v>
      </c>
      <c r="B67" s="6" t="s">
        <v>57</v>
      </c>
      <c r="C67" s="6">
        <v>2671</v>
      </c>
      <c r="D67" s="33">
        <v>3</v>
      </c>
      <c r="E67" s="2">
        <v>12</v>
      </c>
      <c r="F67" s="2">
        <v>32052</v>
      </c>
      <c r="G67" s="3" t="s">
        <v>487</v>
      </c>
      <c r="H67" s="35">
        <v>31731.48</v>
      </c>
      <c r="I67" s="2">
        <v>8013</v>
      </c>
      <c r="J67" s="34">
        <v>41648</v>
      </c>
      <c r="K67">
        <f t="shared" si="0"/>
        <v>31731.48</v>
      </c>
    </row>
    <row r="68" spans="1:11" x14ac:dyDescent="0.2">
      <c r="A68" s="32" t="s">
        <v>65</v>
      </c>
      <c r="B68" s="6" t="s">
        <v>57</v>
      </c>
      <c r="C68" s="6">
        <v>766</v>
      </c>
      <c r="D68" s="33">
        <v>3</v>
      </c>
      <c r="E68" s="2">
        <v>12</v>
      </c>
      <c r="F68" s="2">
        <v>9192</v>
      </c>
      <c r="G68" s="3" t="s">
        <v>488</v>
      </c>
      <c r="H68" s="35">
        <v>9100.08</v>
      </c>
      <c r="I68" s="2">
        <v>2298</v>
      </c>
      <c r="J68" s="34">
        <v>41284</v>
      </c>
      <c r="K68">
        <f t="shared" si="0"/>
        <v>9100.08</v>
      </c>
    </row>
    <row r="69" spans="1:11" x14ac:dyDescent="0.2">
      <c r="A69" s="32" t="s">
        <v>66</v>
      </c>
      <c r="B69" s="6" t="s">
        <v>57</v>
      </c>
      <c r="C69" s="6">
        <v>494</v>
      </c>
      <c r="D69" s="33">
        <v>3</v>
      </c>
      <c r="E69" s="2">
        <v>300</v>
      </c>
      <c r="F69" s="2" t="s">
        <v>489</v>
      </c>
      <c r="G69" s="3" t="s">
        <v>490</v>
      </c>
      <c r="H69" s="35" t="s">
        <v>491</v>
      </c>
      <c r="I69" s="2" t="s">
        <v>492</v>
      </c>
      <c r="J69" s="34">
        <v>41284</v>
      </c>
      <c r="K69">
        <f t="shared" ref="K69:K132" si="1">_xlfn.NUMBERVALUE(SUBSTITUTE(H69," $","",1))</f>
        <v>146718</v>
      </c>
    </row>
    <row r="70" spans="1:11" x14ac:dyDescent="0.2">
      <c r="A70" s="32" t="s">
        <v>60</v>
      </c>
      <c r="B70" s="6" t="s">
        <v>57</v>
      </c>
      <c r="C70" s="6">
        <v>1397</v>
      </c>
      <c r="D70" s="33">
        <v>3</v>
      </c>
      <c r="E70" s="2">
        <v>350</v>
      </c>
      <c r="F70" s="2" t="s">
        <v>493</v>
      </c>
      <c r="G70" s="3" t="s">
        <v>494</v>
      </c>
      <c r="H70" s="35" t="s">
        <v>495</v>
      </c>
      <c r="I70" s="2" t="s">
        <v>496</v>
      </c>
      <c r="J70" s="34">
        <v>41649</v>
      </c>
      <c r="K70">
        <f t="shared" si="1"/>
        <v>484060.5</v>
      </c>
    </row>
    <row r="71" spans="1:11" x14ac:dyDescent="0.2">
      <c r="A71" s="32" t="s">
        <v>67</v>
      </c>
      <c r="B71" s="6" t="s">
        <v>57</v>
      </c>
      <c r="C71" s="6">
        <v>2155</v>
      </c>
      <c r="D71" s="33">
        <v>3</v>
      </c>
      <c r="E71" s="2">
        <v>350</v>
      </c>
      <c r="F71" s="2" t="s">
        <v>497</v>
      </c>
      <c r="G71" s="3" t="s">
        <v>498</v>
      </c>
      <c r="H71" s="35" t="s">
        <v>499</v>
      </c>
      <c r="I71" s="2" t="s">
        <v>500</v>
      </c>
      <c r="J71" s="34">
        <v>41651</v>
      </c>
      <c r="K71">
        <f t="shared" si="1"/>
        <v>746707.5</v>
      </c>
    </row>
    <row r="72" spans="1:11" x14ac:dyDescent="0.2">
      <c r="A72" s="32" t="s">
        <v>21</v>
      </c>
      <c r="B72" s="6" t="s">
        <v>57</v>
      </c>
      <c r="C72" s="6">
        <v>2214</v>
      </c>
      <c r="D72" s="33">
        <v>5</v>
      </c>
      <c r="E72" s="2">
        <v>15</v>
      </c>
      <c r="F72" s="2">
        <v>33210</v>
      </c>
      <c r="G72" s="3" t="s">
        <v>501</v>
      </c>
      <c r="H72" s="35">
        <v>32877.9</v>
      </c>
      <c r="I72" s="2">
        <v>22140</v>
      </c>
      <c r="J72" s="34">
        <v>41642</v>
      </c>
      <c r="K72">
        <f t="shared" si="1"/>
        <v>32877.9</v>
      </c>
    </row>
    <row r="73" spans="1:11" x14ac:dyDescent="0.2">
      <c r="A73" s="32" t="s">
        <v>68</v>
      </c>
      <c r="B73" s="6" t="s">
        <v>57</v>
      </c>
      <c r="C73" s="6">
        <v>2301</v>
      </c>
      <c r="D73" s="33">
        <v>5</v>
      </c>
      <c r="E73" s="2">
        <v>300</v>
      </c>
      <c r="F73" s="2" t="s">
        <v>502</v>
      </c>
      <c r="G73" s="3" t="s">
        <v>503</v>
      </c>
      <c r="H73" s="35" t="s">
        <v>504</v>
      </c>
      <c r="I73" s="2" t="s">
        <v>505</v>
      </c>
      <c r="J73" s="34">
        <v>41643</v>
      </c>
      <c r="K73">
        <f t="shared" si="1"/>
        <v>683397</v>
      </c>
    </row>
    <row r="74" spans="1:11" x14ac:dyDescent="0.2">
      <c r="A74" s="32" t="s">
        <v>19</v>
      </c>
      <c r="B74" s="6" t="s">
        <v>57</v>
      </c>
      <c r="C74" s="6">
        <v>1375.5</v>
      </c>
      <c r="D74" s="33">
        <v>5</v>
      </c>
      <c r="E74" s="2">
        <v>20</v>
      </c>
      <c r="F74" s="2">
        <v>27510</v>
      </c>
      <c r="G74" s="3" t="s">
        <v>506</v>
      </c>
      <c r="H74" s="35">
        <v>27234.9</v>
      </c>
      <c r="I74" s="2">
        <v>13755</v>
      </c>
      <c r="J74" s="34">
        <v>41646</v>
      </c>
      <c r="K74">
        <f t="shared" si="1"/>
        <v>27234.9</v>
      </c>
    </row>
    <row r="75" spans="1:11" x14ac:dyDescent="0.2">
      <c r="A75" s="32" t="s">
        <v>69</v>
      </c>
      <c r="B75" s="6" t="s">
        <v>57</v>
      </c>
      <c r="C75" s="6">
        <v>1830</v>
      </c>
      <c r="D75" s="33">
        <v>5</v>
      </c>
      <c r="E75" s="2">
        <v>7</v>
      </c>
      <c r="F75" s="2">
        <v>12810</v>
      </c>
      <c r="G75" s="3" t="s">
        <v>507</v>
      </c>
      <c r="H75" s="35">
        <v>12681.9</v>
      </c>
      <c r="I75" s="2">
        <v>9150</v>
      </c>
      <c r="J75" s="34">
        <v>41647</v>
      </c>
      <c r="K75">
        <f t="shared" si="1"/>
        <v>12681.9</v>
      </c>
    </row>
    <row r="76" spans="1:11" x14ac:dyDescent="0.2">
      <c r="A76" s="32" t="s">
        <v>68</v>
      </c>
      <c r="B76" s="6" t="s">
        <v>57</v>
      </c>
      <c r="C76" s="6">
        <v>2498</v>
      </c>
      <c r="D76" s="33">
        <v>5</v>
      </c>
      <c r="E76" s="2">
        <v>300</v>
      </c>
      <c r="F76" s="2" t="s">
        <v>508</v>
      </c>
      <c r="G76" s="3" t="s">
        <v>509</v>
      </c>
      <c r="H76" s="35" t="s">
        <v>510</v>
      </c>
      <c r="I76" s="2" t="s">
        <v>511</v>
      </c>
      <c r="J76" s="34">
        <v>41283</v>
      </c>
      <c r="K76">
        <f t="shared" si="1"/>
        <v>741906</v>
      </c>
    </row>
    <row r="77" spans="1:11" x14ac:dyDescent="0.2">
      <c r="A77" s="32" t="s">
        <v>70</v>
      </c>
      <c r="B77" s="6" t="s">
        <v>57</v>
      </c>
      <c r="C77" s="6">
        <v>663</v>
      </c>
      <c r="D77" s="33">
        <v>5</v>
      </c>
      <c r="E77" s="2">
        <v>125</v>
      </c>
      <c r="F77" s="2">
        <v>82875</v>
      </c>
      <c r="G77" s="3" t="s">
        <v>512</v>
      </c>
      <c r="H77" s="35">
        <v>82046.25</v>
      </c>
      <c r="I77" s="2">
        <v>79560</v>
      </c>
      <c r="J77" s="34">
        <v>41284</v>
      </c>
      <c r="K77">
        <f t="shared" si="1"/>
        <v>82046.25</v>
      </c>
    </row>
    <row r="78" spans="1:11" x14ac:dyDescent="0.2">
      <c r="A78" s="32" t="s">
        <v>71</v>
      </c>
      <c r="B78" s="6" t="s">
        <v>57</v>
      </c>
      <c r="C78" s="6">
        <v>1514</v>
      </c>
      <c r="D78" s="33">
        <v>10</v>
      </c>
      <c r="E78" s="2">
        <v>15</v>
      </c>
      <c r="F78" s="2">
        <v>22710</v>
      </c>
      <c r="G78" s="3" t="s">
        <v>513</v>
      </c>
      <c r="H78" s="35">
        <v>22482.9</v>
      </c>
      <c r="I78" s="2">
        <v>15140</v>
      </c>
      <c r="J78" s="34">
        <v>41641</v>
      </c>
      <c r="K78">
        <f t="shared" si="1"/>
        <v>22482.9</v>
      </c>
    </row>
    <row r="79" spans="1:11" x14ac:dyDescent="0.2">
      <c r="A79" s="32" t="s">
        <v>34</v>
      </c>
      <c r="B79" s="6" t="s">
        <v>57</v>
      </c>
      <c r="C79" s="6">
        <v>4492.5</v>
      </c>
      <c r="D79" s="33">
        <v>10</v>
      </c>
      <c r="E79" s="2">
        <v>7</v>
      </c>
      <c r="F79" s="2">
        <v>31447.5</v>
      </c>
      <c r="G79" s="3" t="s">
        <v>514</v>
      </c>
      <c r="H79" s="35">
        <v>31133.03</v>
      </c>
      <c r="I79" s="2">
        <v>22462.5</v>
      </c>
      <c r="J79" s="34">
        <v>41643</v>
      </c>
      <c r="K79">
        <f t="shared" si="1"/>
        <v>31133.03</v>
      </c>
    </row>
    <row r="80" spans="1:11" x14ac:dyDescent="0.2">
      <c r="A80" s="32" t="s">
        <v>72</v>
      </c>
      <c r="B80" s="6" t="s">
        <v>57</v>
      </c>
      <c r="C80" s="6">
        <v>727</v>
      </c>
      <c r="D80" s="33">
        <v>10</v>
      </c>
      <c r="E80" s="2">
        <v>125</v>
      </c>
      <c r="F80" s="2">
        <v>90875</v>
      </c>
      <c r="G80" s="3" t="s">
        <v>515</v>
      </c>
      <c r="H80" s="35">
        <v>89966.25</v>
      </c>
      <c r="I80" s="2">
        <v>87240</v>
      </c>
      <c r="J80" s="34">
        <v>41645</v>
      </c>
      <c r="K80">
        <f t="shared" si="1"/>
        <v>89966.25</v>
      </c>
    </row>
    <row r="81" spans="1:11" x14ac:dyDescent="0.2">
      <c r="A81" s="32" t="s">
        <v>73</v>
      </c>
      <c r="B81" s="6" t="s">
        <v>57</v>
      </c>
      <c r="C81" s="6">
        <v>787</v>
      </c>
      <c r="D81" s="33">
        <v>10</v>
      </c>
      <c r="E81" s="2">
        <v>125</v>
      </c>
      <c r="F81" s="2">
        <v>98375</v>
      </c>
      <c r="G81" s="3" t="s">
        <v>516</v>
      </c>
      <c r="H81" s="35">
        <v>97391.25</v>
      </c>
      <c r="I81" s="2">
        <v>94440</v>
      </c>
      <c r="J81" s="34">
        <v>41645</v>
      </c>
      <c r="K81">
        <f t="shared" si="1"/>
        <v>97391.25</v>
      </c>
    </row>
    <row r="82" spans="1:11" x14ac:dyDescent="0.2">
      <c r="A82" s="32" t="s">
        <v>74</v>
      </c>
      <c r="B82" s="6" t="s">
        <v>57</v>
      </c>
      <c r="C82" s="6">
        <v>1823</v>
      </c>
      <c r="D82" s="33">
        <v>10</v>
      </c>
      <c r="E82" s="2">
        <v>125</v>
      </c>
      <c r="F82" s="2" t="s">
        <v>517</v>
      </c>
      <c r="G82" s="3" t="s">
        <v>518</v>
      </c>
      <c r="H82" s="35" t="s">
        <v>519</v>
      </c>
      <c r="I82" s="2" t="s">
        <v>520</v>
      </c>
      <c r="J82" s="34">
        <v>41646</v>
      </c>
      <c r="K82">
        <f t="shared" si="1"/>
        <v>225596.25</v>
      </c>
    </row>
    <row r="83" spans="1:11" x14ac:dyDescent="0.2">
      <c r="A83" s="32" t="s">
        <v>75</v>
      </c>
      <c r="B83" s="6" t="s">
        <v>57</v>
      </c>
      <c r="C83" s="6">
        <v>747</v>
      </c>
      <c r="D83" s="33">
        <v>10</v>
      </c>
      <c r="E83" s="2">
        <v>15</v>
      </c>
      <c r="F83" s="2">
        <v>11205</v>
      </c>
      <c r="G83" s="3" t="s">
        <v>521</v>
      </c>
      <c r="H83" s="35">
        <v>11092.95</v>
      </c>
      <c r="I83" s="2">
        <v>7470</v>
      </c>
      <c r="J83" s="34">
        <v>41648</v>
      </c>
      <c r="K83">
        <f t="shared" si="1"/>
        <v>11092.95</v>
      </c>
    </row>
    <row r="84" spans="1:11" x14ac:dyDescent="0.2">
      <c r="A84" s="32" t="s">
        <v>30</v>
      </c>
      <c r="B84" s="6" t="s">
        <v>57</v>
      </c>
      <c r="C84" s="6">
        <v>766</v>
      </c>
      <c r="D84" s="33">
        <v>10</v>
      </c>
      <c r="E84" s="2">
        <v>12</v>
      </c>
      <c r="F84" s="2">
        <v>9192</v>
      </c>
      <c r="G84" s="3" t="s">
        <v>488</v>
      </c>
      <c r="H84" s="35">
        <v>9100.08</v>
      </c>
      <c r="I84" s="2">
        <v>2298</v>
      </c>
      <c r="J84" s="34">
        <v>41284</v>
      </c>
      <c r="K84">
        <f t="shared" si="1"/>
        <v>9100.08</v>
      </c>
    </row>
    <row r="85" spans="1:11" x14ac:dyDescent="0.2">
      <c r="A85" s="32" t="s">
        <v>76</v>
      </c>
      <c r="B85" s="6" t="s">
        <v>57</v>
      </c>
      <c r="C85" s="6">
        <v>2905</v>
      </c>
      <c r="D85" s="33">
        <v>10</v>
      </c>
      <c r="E85" s="2">
        <v>300</v>
      </c>
      <c r="F85" s="2" t="s">
        <v>522</v>
      </c>
      <c r="G85" s="3" t="s">
        <v>523</v>
      </c>
      <c r="H85" s="35" t="s">
        <v>524</v>
      </c>
      <c r="I85" s="2" t="s">
        <v>525</v>
      </c>
      <c r="J85" s="34">
        <v>41650</v>
      </c>
      <c r="K85">
        <f t="shared" si="1"/>
        <v>862785</v>
      </c>
    </row>
    <row r="86" spans="1:11" x14ac:dyDescent="0.2">
      <c r="A86" s="32" t="s">
        <v>56</v>
      </c>
      <c r="B86" s="6" t="s">
        <v>57</v>
      </c>
      <c r="C86" s="6">
        <v>2155</v>
      </c>
      <c r="D86" s="33">
        <v>10</v>
      </c>
      <c r="E86" s="2">
        <v>350</v>
      </c>
      <c r="F86" s="2" t="s">
        <v>497</v>
      </c>
      <c r="G86" s="3" t="s">
        <v>498</v>
      </c>
      <c r="H86" s="35" t="s">
        <v>499</v>
      </c>
      <c r="I86" s="2" t="s">
        <v>500</v>
      </c>
      <c r="J86" s="34">
        <v>41651</v>
      </c>
      <c r="K86">
        <f t="shared" si="1"/>
        <v>746707.5</v>
      </c>
    </row>
    <row r="87" spans="1:11" x14ac:dyDescent="0.2">
      <c r="A87" s="32" t="s">
        <v>58</v>
      </c>
      <c r="B87" s="6" t="s">
        <v>57</v>
      </c>
      <c r="C87" s="6">
        <v>3864</v>
      </c>
      <c r="D87" s="33">
        <v>120</v>
      </c>
      <c r="E87" s="2">
        <v>20</v>
      </c>
      <c r="F87" s="2">
        <v>77280</v>
      </c>
      <c r="G87" s="3" t="s">
        <v>526</v>
      </c>
      <c r="H87" s="35">
        <v>76507.199999999997</v>
      </c>
      <c r="I87" s="2">
        <v>38640</v>
      </c>
      <c r="J87" s="34">
        <v>41643</v>
      </c>
      <c r="K87">
        <f t="shared" si="1"/>
        <v>76507.199999999997</v>
      </c>
    </row>
    <row r="88" spans="1:11" x14ac:dyDescent="0.2">
      <c r="A88" s="32" t="s">
        <v>37</v>
      </c>
      <c r="B88" s="6" t="s">
        <v>57</v>
      </c>
      <c r="C88" s="6">
        <v>362</v>
      </c>
      <c r="D88" s="33">
        <v>120</v>
      </c>
      <c r="E88" s="2">
        <v>7</v>
      </c>
      <c r="F88" s="2">
        <v>2534</v>
      </c>
      <c r="G88" s="3" t="s">
        <v>527</v>
      </c>
      <c r="H88" s="35">
        <v>2508.66</v>
      </c>
      <c r="I88" s="2">
        <v>1810</v>
      </c>
      <c r="J88" s="34">
        <v>41644</v>
      </c>
      <c r="K88">
        <f t="shared" si="1"/>
        <v>2508.66</v>
      </c>
    </row>
    <row r="89" spans="1:11" x14ac:dyDescent="0.2">
      <c r="A89" s="32" t="s">
        <v>42</v>
      </c>
      <c r="B89" s="6" t="s">
        <v>57</v>
      </c>
      <c r="C89" s="6">
        <v>923</v>
      </c>
      <c r="D89" s="33">
        <v>120</v>
      </c>
      <c r="E89" s="2">
        <v>125</v>
      </c>
      <c r="F89" s="2" t="s">
        <v>528</v>
      </c>
      <c r="G89" s="3" t="s">
        <v>529</v>
      </c>
      <c r="H89" s="35" t="s">
        <v>530</v>
      </c>
      <c r="I89" s="2" t="s">
        <v>531</v>
      </c>
      <c r="J89" s="34">
        <v>41647</v>
      </c>
      <c r="K89">
        <f t="shared" si="1"/>
        <v>114221.25</v>
      </c>
    </row>
    <row r="90" spans="1:11" x14ac:dyDescent="0.2">
      <c r="A90" s="32" t="s">
        <v>41</v>
      </c>
      <c r="B90" s="6" t="s">
        <v>57</v>
      </c>
      <c r="C90" s="6">
        <v>663</v>
      </c>
      <c r="D90" s="33">
        <v>120</v>
      </c>
      <c r="E90" s="2">
        <v>125</v>
      </c>
      <c r="F90" s="2">
        <v>82875</v>
      </c>
      <c r="G90" s="3" t="s">
        <v>512</v>
      </c>
      <c r="H90" s="35">
        <v>82046.25</v>
      </c>
      <c r="I90" s="2">
        <v>79560</v>
      </c>
      <c r="J90" s="34">
        <v>41284</v>
      </c>
      <c r="K90">
        <f t="shared" si="1"/>
        <v>82046.25</v>
      </c>
    </row>
    <row r="91" spans="1:11" x14ac:dyDescent="0.2">
      <c r="A91" s="32" t="s">
        <v>77</v>
      </c>
      <c r="B91" s="6" t="s">
        <v>57</v>
      </c>
      <c r="C91" s="6">
        <v>2092</v>
      </c>
      <c r="D91" s="33">
        <v>120</v>
      </c>
      <c r="E91" s="2">
        <v>7</v>
      </c>
      <c r="F91" s="2">
        <v>14644</v>
      </c>
      <c r="G91" s="3" t="s">
        <v>532</v>
      </c>
      <c r="H91" s="35">
        <v>14497.56</v>
      </c>
      <c r="I91" s="2">
        <v>10460</v>
      </c>
      <c r="J91" s="34">
        <v>41285</v>
      </c>
      <c r="K91">
        <f t="shared" si="1"/>
        <v>14497.56</v>
      </c>
    </row>
    <row r="92" spans="1:11" x14ac:dyDescent="0.2">
      <c r="A92" s="32" t="s">
        <v>78</v>
      </c>
      <c r="B92" s="6" t="s">
        <v>57</v>
      </c>
      <c r="C92" s="6">
        <v>263</v>
      </c>
      <c r="D92" s="33">
        <v>250</v>
      </c>
      <c r="E92" s="2">
        <v>7</v>
      </c>
      <c r="F92" s="2">
        <v>1841</v>
      </c>
      <c r="G92" s="3" t="s">
        <v>533</v>
      </c>
      <c r="H92" s="35">
        <v>1822.59</v>
      </c>
      <c r="I92" s="2">
        <v>1315</v>
      </c>
      <c r="J92" s="34">
        <v>41642</v>
      </c>
      <c r="K92">
        <f t="shared" si="1"/>
        <v>1822.59</v>
      </c>
    </row>
    <row r="93" spans="1:11" x14ac:dyDescent="0.2">
      <c r="A93" s="32" t="s">
        <v>49</v>
      </c>
      <c r="B93" s="6" t="s">
        <v>57</v>
      </c>
      <c r="C93" s="6">
        <v>943.5</v>
      </c>
      <c r="D93" s="33">
        <v>250</v>
      </c>
      <c r="E93" s="2">
        <v>350</v>
      </c>
      <c r="F93" s="2" t="s">
        <v>534</v>
      </c>
      <c r="G93" s="3" t="s">
        <v>535</v>
      </c>
      <c r="H93" s="35" t="s">
        <v>536</v>
      </c>
      <c r="I93" s="2" t="s">
        <v>537</v>
      </c>
      <c r="J93" s="34">
        <v>41643</v>
      </c>
      <c r="K93">
        <f t="shared" si="1"/>
        <v>326922.75</v>
      </c>
    </row>
    <row r="94" spans="1:11" x14ac:dyDescent="0.2">
      <c r="A94" s="32" t="s">
        <v>79</v>
      </c>
      <c r="B94" s="6" t="s">
        <v>57</v>
      </c>
      <c r="C94" s="6">
        <v>727</v>
      </c>
      <c r="D94" s="33">
        <v>250</v>
      </c>
      <c r="E94" s="2">
        <v>125</v>
      </c>
      <c r="F94" s="2">
        <v>90875</v>
      </c>
      <c r="G94" s="3" t="s">
        <v>515</v>
      </c>
      <c r="H94" s="35">
        <v>89966.25</v>
      </c>
      <c r="I94" s="2">
        <v>87240</v>
      </c>
      <c r="J94" s="34">
        <v>41645</v>
      </c>
      <c r="K94">
        <f t="shared" si="1"/>
        <v>89966.25</v>
      </c>
    </row>
    <row r="95" spans="1:11" x14ac:dyDescent="0.2">
      <c r="A95" s="32" t="s">
        <v>80</v>
      </c>
      <c r="B95" s="6" t="s">
        <v>57</v>
      </c>
      <c r="C95" s="6">
        <v>787</v>
      </c>
      <c r="D95" s="33">
        <v>250</v>
      </c>
      <c r="E95" s="2">
        <v>125</v>
      </c>
      <c r="F95" s="2">
        <v>98375</v>
      </c>
      <c r="G95" s="3" t="s">
        <v>516</v>
      </c>
      <c r="H95" s="35">
        <v>97391.25</v>
      </c>
      <c r="I95" s="2">
        <v>94440</v>
      </c>
      <c r="J95" s="34">
        <v>41645</v>
      </c>
      <c r="K95">
        <f t="shared" si="1"/>
        <v>97391.25</v>
      </c>
    </row>
    <row r="96" spans="1:11" x14ac:dyDescent="0.2">
      <c r="A96" s="32" t="s">
        <v>81</v>
      </c>
      <c r="B96" s="6" t="s">
        <v>57</v>
      </c>
      <c r="C96" s="6">
        <v>986</v>
      </c>
      <c r="D96" s="33">
        <v>250</v>
      </c>
      <c r="E96" s="2">
        <v>300</v>
      </c>
      <c r="F96" s="2" t="s">
        <v>538</v>
      </c>
      <c r="G96" s="3" t="s">
        <v>539</v>
      </c>
      <c r="H96" s="35" t="s">
        <v>540</v>
      </c>
      <c r="I96" s="2" t="s">
        <v>541</v>
      </c>
      <c r="J96" s="34">
        <v>41648</v>
      </c>
      <c r="K96">
        <f t="shared" si="1"/>
        <v>292842</v>
      </c>
    </row>
    <row r="97" spans="1:11" x14ac:dyDescent="0.2">
      <c r="A97" s="32" t="s">
        <v>82</v>
      </c>
      <c r="B97" s="6" t="s">
        <v>57</v>
      </c>
      <c r="C97" s="6">
        <v>494</v>
      </c>
      <c r="D97" s="33">
        <v>250</v>
      </c>
      <c r="E97" s="2">
        <v>300</v>
      </c>
      <c r="F97" s="2" t="s">
        <v>489</v>
      </c>
      <c r="G97" s="3" t="s">
        <v>490</v>
      </c>
      <c r="H97" s="35" t="s">
        <v>491</v>
      </c>
      <c r="I97" s="2" t="s">
        <v>492</v>
      </c>
      <c r="J97" s="34">
        <v>41284</v>
      </c>
      <c r="K97">
        <f t="shared" si="1"/>
        <v>146718</v>
      </c>
    </row>
    <row r="98" spans="1:11" x14ac:dyDescent="0.2">
      <c r="A98" s="32" t="s">
        <v>83</v>
      </c>
      <c r="B98" s="6" t="s">
        <v>57</v>
      </c>
      <c r="C98" s="6">
        <v>1397</v>
      </c>
      <c r="D98" s="33">
        <v>250</v>
      </c>
      <c r="E98" s="2">
        <v>350</v>
      </c>
      <c r="F98" s="2" t="s">
        <v>493</v>
      </c>
      <c r="G98" s="3" t="s">
        <v>494</v>
      </c>
      <c r="H98" s="35" t="s">
        <v>495</v>
      </c>
      <c r="I98" s="2" t="s">
        <v>496</v>
      </c>
      <c r="J98" s="34">
        <v>41649</v>
      </c>
      <c r="K98">
        <f t="shared" si="1"/>
        <v>484060.5</v>
      </c>
    </row>
    <row r="99" spans="1:11" x14ac:dyDescent="0.2">
      <c r="A99" s="32" t="s">
        <v>80</v>
      </c>
      <c r="B99" s="6" t="s">
        <v>57</v>
      </c>
      <c r="C99" s="6">
        <v>1744</v>
      </c>
      <c r="D99" s="33">
        <v>250</v>
      </c>
      <c r="E99" s="2">
        <v>125</v>
      </c>
      <c r="F99" s="2" t="s">
        <v>542</v>
      </c>
      <c r="G99" s="3" t="s">
        <v>543</v>
      </c>
      <c r="H99" s="35" t="s">
        <v>544</v>
      </c>
      <c r="I99" s="2" t="s">
        <v>545</v>
      </c>
      <c r="J99" s="34">
        <v>41650</v>
      </c>
      <c r="K99">
        <f t="shared" si="1"/>
        <v>215820</v>
      </c>
    </row>
    <row r="100" spans="1:11" x14ac:dyDescent="0.2">
      <c r="A100" s="32" t="s">
        <v>51</v>
      </c>
      <c r="B100" s="6" t="s">
        <v>57</v>
      </c>
      <c r="C100" s="6">
        <v>1989</v>
      </c>
      <c r="D100" s="33">
        <v>260</v>
      </c>
      <c r="E100" s="2">
        <v>12</v>
      </c>
      <c r="F100" s="2">
        <v>23868</v>
      </c>
      <c r="G100" s="3" t="s">
        <v>546</v>
      </c>
      <c r="H100" s="35">
        <v>23629.32</v>
      </c>
      <c r="I100" s="2">
        <v>5967</v>
      </c>
      <c r="J100" s="34">
        <v>41283</v>
      </c>
      <c r="K100">
        <f t="shared" si="1"/>
        <v>23629.32</v>
      </c>
    </row>
    <row r="101" spans="1:11" x14ac:dyDescent="0.2">
      <c r="A101" s="32" t="s">
        <v>84</v>
      </c>
      <c r="B101" s="6" t="s">
        <v>57</v>
      </c>
      <c r="C101" s="6">
        <v>321</v>
      </c>
      <c r="D101" s="33">
        <v>260</v>
      </c>
      <c r="E101" s="2">
        <v>15</v>
      </c>
      <c r="F101" s="2">
        <v>4815</v>
      </c>
      <c r="G101" s="3" t="s">
        <v>547</v>
      </c>
      <c r="H101" s="35">
        <v>4766.8500000000004</v>
      </c>
      <c r="I101" s="2">
        <v>3210</v>
      </c>
      <c r="J101" s="34">
        <v>41285</v>
      </c>
      <c r="K101">
        <f t="shared" si="1"/>
        <v>4766.8500000000004</v>
      </c>
    </row>
    <row r="102" spans="1:11" x14ac:dyDescent="0.2">
      <c r="A102" s="32" t="s">
        <v>85</v>
      </c>
      <c r="B102" s="6" t="s">
        <v>57</v>
      </c>
      <c r="C102" s="6">
        <v>742.5</v>
      </c>
      <c r="D102" s="33">
        <v>3</v>
      </c>
      <c r="E102" s="2">
        <v>125</v>
      </c>
      <c r="F102" s="2">
        <v>92812.5</v>
      </c>
      <c r="G102" s="3" t="s">
        <v>548</v>
      </c>
      <c r="H102" s="35">
        <v>90956.25</v>
      </c>
      <c r="I102" s="2">
        <v>89100</v>
      </c>
      <c r="J102" s="34">
        <v>41643</v>
      </c>
      <c r="K102">
        <f t="shared" si="1"/>
        <v>90956.25</v>
      </c>
    </row>
    <row r="103" spans="1:11" x14ac:dyDescent="0.2">
      <c r="A103" s="32" t="s">
        <v>62</v>
      </c>
      <c r="B103" s="6" t="s">
        <v>57</v>
      </c>
      <c r="C103" s="6">
        <v>1295</v>
      </c>
      <c r="D103" s="33">
        <v>3</v>
      </c>
      <c r="E103" s="2">
        <v>12</v>
      </c>
      <c r="F103" s="2">
        <v>15540</v>
      </c>
      <c r="G103" s="3" t="s">
        <v>549</v>
      </c>
      <c r="H103" s="35">
        <v>15229.2</v>
      </c>
      <c r="I103" s="2">
        <v>3885</v>
      </c>
      <c r="J103" s="34">
        <v>41649</v>
      </c>
      <c r="K103">
        <f t="shared" si="1"/>
        <v>15229.2</v>
      </c>
    </row>
    <row r="104" spans="1:11" x14ac:dyDescent="0.2">
      <c r="A104" s="32" t="s">
        <v>86</v>
      </c>
      <c r="B104" s="6" t="s">
        <v>57</v>
      </c>
      <c r="C104" s="6">
        <v>214</v>
      </c>
      <c r="D104" s="33">
        <v>3</v>
      </c>
      <c r="E104" s="2">
        <v>300</v>
      </c>
      <c r="F104" s="2">
        <v>64200</v>
      </c>
      <c r="G104" s="3" t="s">
        <v>550</v>
      </c>
      <c r="H104" s="35">
        <v>62916</v>
      </c>
      <c r="I104" s="2">
        <v>53500</v>
      </c>
      <c r="J104" s="34">
        <v>41284</v>
      </c>
      <c r="K104">
        <f t="shared" si="1"/>
        <v>62916</v>
      </c>
    </row>
    <row r="105" spans="1:11" x14ac:dyDescent="0.2">
      <c r="A105" s="32" t="s">
        <v>67</v>
      </c>
      <c r="B105" s="6" t="s">
        <v>57</v>
      </c>
      <c r="C105" s="6">
        <v>2145</v>
      </c>
      <c r="D105" s="33">
        <v>3</v>
      </c>
      <c r="E105" s="2">
        <v>7</v>
      </c>
      <c r="F105" s="2">
        <v>15015</v>
      </c>
      <c r="G105" s="3" t="s">
        <v>551</v>
      </c>
      <c r="H105" s="35">
        <v>14714.7</v>
      </c>
      <c r="I105" s="2">
        <v>10725</v>
      </c>
      <c r="J105" s="34">
        <v>41285</v>
      </c>
      <c r="K105">
        <f t="shared" si="1"/>
        <v>14714.7</v>
      </c>
    </row>
    <row r="106" spans="1:11" x14ac:dyDescent="0.2">
      <c r="A106" s="32" t="s">
        <v>11</v>
      </c>
      <c r="B106" s="6" t="s">
        <v>57</v>
      </c>
      <c r="C106" s="6">
        <v>2852</v>
      </c>
      <c r="D106" s="33">
        <v>3</v>
      </c>
      <c r="E106" s="2">
        <v>350</v>
      </c>
      <c r="F106" s="2" t="s">
        <v>552</v>
      </c>
      <c r="G106" s="3" t="s">
        <v>553</v>
      </c>
      <c r="H106" s="35" t="s">
        <v>554</v>
      </c>
      <c r="I106" s="2" t="s">
        <v>555</v>
      </c>
      <c r="J106" s="34">
        <v>41651</v>
      </c>
      <c r="K106">
        <f t="shared" si="1"/>
        <v>978236</v>
      </c>
    </row>
    <row r="107" spans="1:11" x14ac:dyDescent="0.2">
      <c r="A107" s="32" t="s">
        <v>87</v>
      </c>
      <c r="B107" s="6" t="s">
        <v>57</v>
      </c>
      <c r="C107" s="6">
        <v>1142</v>
      </c>
      <c r="D107" s="33">
        <v>5</v>
      </c>
      <c r="E107" s="2">
        <v>12</v>
      </c>
      <c r="F107" s="2">
        <v>13704</v>
      </c>
      <c r="G107" s="3" t="s">
        <v>556</v>
      </c>
      <c r="H107" s="35">
        <v>13429.92</v>
      </c>
      <c r="I107" s="2">
        <v>3426</v>
      </c>
      <c r="J107" s="34">
        <v>41645</v>
      </c>
      <c r="K107">
        <f t="shared" si="1"/>
        <v>13429.92</v>
      </c>
    </row>
    <row r="108" spans="1:11" x14ac:dyDescent="0.2">
      <c r="A108" s="32" t="s">
        <v>88</v>
      </c>
      <c r="B108" s="6" t="s">
        <v>57</v>
      </c>
      <c r="C108" s="6">
        <v>1566</v>
      </c>
      <c r="D108" s="33">
        <v>5</v>
      </c>
      <c r="E108" s="2">
        <v>20</v>
      </c>
      <c r="F108" s="2">
        <v>31320</v>
      </c>
      <c r="G108" s="3" t="s">
        <v>557</v>
      </c>
      <c r="H108" s="35">
        <v>30693.599999999999</v>
      </c>
      <c r="I108" s="2">
        <v>15660</v>
      </c>
      <c r="J108" s="34">
        <v>41649</v>
      </c>
      <c r="K108">
        <f t="shared" si="1"/>
        <v>30693.599999999999</v>
      </c>
    </row>
    <row r="109" spans="1:11" x14ac:dyDescent="0.2">
      <c r="A109" s="32" t="s">
        <v>89</v>
      </c>
      <c r="B109" s="6" t="s">
        <v>57</v>
      </c>
      <c r="C109" s="6">
        <v>690</v>
      </c>
      <c r="D109" s="33">
        <v>5</v>
      </c>
      <c r="E109" s="2">
        <v>12</v>
      </c>
      <c r="F109" s="2">
        <v>8280</v>
      </c>
      <c r="G109" s="3" t="s">
        <v>558</v>
      </c>
      <c r="H109" s="35">
        <v>8114.4</v>
      </c>
      <c r="I109" s="2">
        <v>2070</v>
      </c>
      <c r="J109" s="34">
        <v>41650</v>
      </c>
      <c r="K109">
        <f t="shared" si="1"/>
        <v>8114.4</v>
      </c>
    </row>
    <row r="110" spans="1:11" x14ac:dyDescent="0.2">
      <c r="A110" s="32" t="s">
        <v>90</v>
      </c>
      <c r="B110" s="6" t="s">
        <v>57</v>
      </c>
      <c r="C110" s="6">
        <v>1660</v>
      </c>
      <c r="D110" s="33">
        <v>5</v>
      </c>
      <c r="E110" s="2">
        <v>125</v>
      </c>
      <c r="F110" s="2" t="s">
        <v>559</v>
      </c>
      <c r="G110" s="3" t="s">
        <v>560</v>
      </c>
      <c r="H110" s="35" t="s">
        <v>561</v>
      </c>
      <c r="I110" s="2" t="s">
        <v>562</v>
      </c>
      <c r="J110" s="34">
        <v>41285</v>
      </c>
      <c r="K110">
        <f t="shared" si="1"/>
        <v>203350</v>
      </c>
    </row>
    <row r="111" spans="1:11" x14ac:dyDescent="0.2">
      <c r="A111" s="32" t="s">
        <v>36</v>
      </c>
      <c r="B111" s="6" t="s">
        <v>57</v>
      </c>
      <c r="C111" s="6">
        <v>2363</v>
      </c>
      <c r="D111" s="33">
        <v>10</v>
      </c>
      <c r="E111" s="2">
        <v>15</v>
      </c>
      <c r="F111" s="2">
        <v>35445</v>
      </c>
      <c r="G111" s="3" t="s">
        <v>563</v>
      </c>
      <c r="H111" s="35">
        <v>34736.1</v>
      </c>
      <c r="I111" s="2">
        <v>23630</v>
      </c>
      <c r="J111" s="34">
        <v>41641</v>
      </c>
      <c r="K111">
        <f t="shared" si="1"/>
        <v>34736.1</v>
      </c>
    </row>
    <row r="112" spans="1:11" x14ac:dyDescent="0.2">
      <c r="A112" s="32" t="s">
        <v>91</v>
      </c>
      <c r="B112" s="6" t="s">
        <v>57</v>
      </c>
      <c r="C112" s="6">
        <v>918</v>
      </c>
      <c r="D112" s="33">
        <v>10</v>
      </c>
      <c r="E112" s="2">
        <v>300</v>
      </c>
      <c r="F112" s="2" t="s">
        <v>564</v>
      </c>
      <c r="G112" s="3" t="s">
        <v>565</v>
      </c>
      <c r="H112" s="35" t="s">
        <v>566</v>
      </c>
      <c r="I112" s="2" t="s">
        <v>567</v>
      </c>
      <c r="J112" s="34">
        <v>41644</v>
      </c>
      <c r="K112">
        <f t="shared" si="1"/>
        <v>269892</v>
      </c>
    </row>
    <row r="113" spans="1:11" x14ac:dyDescent="0.2">
      <c r="A113" s="32" t="s">
        <v>92</v>
      </c>
      <c r="B113" s="6" t="s">
        <v>57</v>
      </c>
      <c r="C113" s="6">
        <v>1728</v>
      </c>
      <c r="D113" s="33">
        <v>10</v>
      </c>
      <c r="E113" s="2">
        <v>300</v>
      </c>
      <c r="F113" s="2" t="s">
        <v>568</v>
      </c>
      <c r="G113" s="3" t="s">
        <v>569</v>
      </c>
      <c r="H113" s="35" t="s">
        <v>570</v>
      </c>
      <c r="I113" s="2" t="s">
        <v>571</v>
      </c>
      <c r="J113" s="34">
        <v>41644</v>
      </c>
      <c r="K113">
        <f t="shared" si="1"/>
        <v>508032</v>
      </c>
    </row>
    <row r="114" spans="1:11" x14ac:dyDescent="0.2">
      <c r="A114" s="32" t="s">
        <v>35</v>
      </c>
      <c r="B114" s="6" t="s">
        <v>57</v>
      </c>
      <c r="C114" s="6">
        <v>1142</v>
      </c>
      <c r="D114" s="33">
        <v>10</v>
      </c>
      <c r="E114" s="2">
        <v>12</v>
      </c>
      <c r="F114" s="2">
        <v>13704</v>
      </c>
      <c r="G114" s="3" t="s">
        <v>556</v>
      </c>
      <c r="H114" s="35">
        <v>13429.92</v>
      </c>
      <c r="I114" s="2">
        <v>3426</v>
      </c>
      <c r="J114" s="34">
        <v>41645</v>
      </c>
      <c r="K114">
        <f t="shared" si="1"/>
        <v>13429.92</v>
      </c>
    </row>
    <row r="115" spans="1:11" x14ac:dyDescent="0.2">
      <c r="A115" s="32" t="s">
        <v>74</v>
      </c>
      <c r="B115" s="6" t="s">
        <v>57</v>
      </c>
      <c r="C115" s="6">
        <v>662</v>
      </c>
      <c r="D115" s="33">
        <v>10</v>
      </c>
      <c r="E115" s="2">
        <v>125</v>
      </c>
      <c r="F115" s="2">
        <v>82750</v>
      </c>
      <c r="G115" s="3" t="s">
        <v>572</v>
      </c>
      <c r="H115" s="35">
        <v>81095</v>
      </c>
      <c r="I115" s="2">
        <v>79440</v>
      </c>
      <c r="J115" s="34">
        <v>41645</v>
      </c>
      <c r="K115">
        <f t="shared" si="1"/>
        <v>81095</v>
      </c>
    </row>
    <row r="116" spans="1:11" x14ac:dyDescent="0.2">
      <c r="A116" s="32" t="s">
        <v>28</v>
      </c>
      <c r="B116" s="6" t="s">
        <v>57</v>
      </c>
      <c r="C116" s="6">
        <v>1295</v>
      </c>
      <c r="D116" s="33">
        <v>10</v>
      </c>
      <c r="E116" s="2">
        <v>12</v>
      </c>
      <c r="F116" s="2">
        <v>15540</v>
      </c>
      <c r="G116" s="3" t="s">
        <v>549</v>
      </c>
      <c r="H116" s="35">
        <v>15229.2</v>
      </c>
      <c r="I116" s="2">
        <v>3885</v>
      </c>
      <c r="J116" s="34">
        <v>41649</v>
      </c>
      <c r="K116">
        <f t="shared" si="1"/>
        <v>15229.2</v>
      </c>
    </row>
    <row r="117" spans="1:11" x14ac:dyDescent="0.2">
      <c r="A117" s="32" t="s">
        <v>93</v>
      </c>
      <c r="B117" s="6" t="s">
        <v>57</v>
      </c>
      <c r="C117" s="6">
        <v>809</v>
      </c>
      <c r="D117" s="33">
        <v>10</v>
      </c>
      <c r="E117" s="2">
        <v>125</v>
      </c>
      <c r="F117" s="2" t="s">
        <v>573</v>
      </c>
      <c r="G117" s="3" t="s">
        <v>574</v>
      </c>
      <c r="H117" s="35">
        <v>99102.5</v>
      </c>
      <c r="I117" s="2">
        <v>97080</v>
      </c>
      <c r="J117" s="34">
        <v>41284</v>
      </c>
      <c r="K117">
        <f t="shared" si="1"/>
        <v>99102.5</v>
      </c>
    </row>
    <row r="118" spans="1:11" x14ac:dyDescent="0.2">
      <c r="A118" s="32" t="s">
        <v>74</v>
      </c>
      <c r="B118" s="6" t="s">
        <v>57</v>
      </c>
      <c r="C118" s="6">
        <v>2145</v>
      </c>
      <c r="D118" s="33">
        <v>10</v>
      </c>
      <c r="E118" s="2">
        <v>125</v>
      </c>
      <c r="F118" s="2" t="s">
        <v>575</v>
      </c>
      <c r="G118" s="3" t="s">
        <v>576</v>
      </c>
      <c r="H118" s="35" t="s">
        <v>577</v>
      </c>
      <c r="I118" s="2" t="s">
        <v>578</v>
      </c>
      <c r="J118" s="34">
        <v>41284</v>
      </c>
      <c r="K118">
        <f t="shared" si="1"/>
        <v>262762.5</v>
      </c>
    </row>
    <row r="119" spans="1:11" x14ac:dyDescent="0.2">
      <c r="A119" s="32" t="s">
        <v>94</v>
      </c>
      <c r="B119" s="6" t="s">
        <v>57</v>
      </c>
      <c r="C119" s="6">
        <v>1785</v>
      </c>
      <c r="D119" s="33">
        <v>10</v>
      </c>
      <c r="E119" s="2">
        <v>12</v>
      </c>
      <c r="F119" s="2">
        <v>21420</v>
      </c>
      <c r="G119" s="3" t="s">
        <v>579</v>
      </c>
      <c r="H119" s="35">
        <v>20991.599999999999</v>
      </c>
      <c r="I119" s="2">
        <v>5355</v>
      </c>
      <c r="J119" s="34">
        <v>41285</v>
      </c>
      <c r="K119">
        <f t="shared" si="1"/>
        <v>20991.599999999999</v>
      </c>
    </row>
    <row r="120" spans="1:11" x14ac:dyDescent="0.2">
      <c r="A120" s="32" t="s">
        <v>95</v>
      </c>
      <c r="B120" s="6" t="s">
        <v>57</v>
      </c>
      <c r="C120" s="6">
        <v>1916</v>
      </c>
      <c r="D120" s="33">
        <v>10</v>
      </c>
      <c r="E120" s="2">
        <v>300</v>
      </c>
      <c r="F120" s="2" t="s">
        <v>580</v>
      </c>
      <c r="G120" s="3" t="s">
        <v>581</v>
      </c>
      <c r="H120" s="35" t="s">
        <v>582</v>
      </c>
      <c r="I120" s="2" t="s">
        <v>583</v>
      </c>
      <c r="J120" s="34">
        <v>41651</v>
      </c>
      <c r="K120">
        <f t="shared" si="1"/>
        <v>563304</v>
      </c>
    </row>
    <row r="121" spans="1:11" x14ac:dyDescent="0.2">
      <c r="A121" s="32" t="s">
        <v>26</v>
      </c>
      <c r="B121" s="6" t="s">
        <v>57</v>
      </c>
      <c r="C121" s="6">
        <v>2852</v>
      </c>
      <c r="D121" s="33">
        <v>10</v>
      </c>
      <c r="E121" s="2">
        <v>350</v>
      </c>
      <c r="F121" s="2" t="s">
        <v>552</v>
      </c>
      <c r="G121" s="3" t="s">
        <v>553</v>
      </c>
      <c r="H121" s="35" t="s">
        <v>554</v>
      </c>
      <c r="I121" s="2" t="s">
        <v>555</v>
      </c>
      <c r="J121" s="34">
        <v>41651</v>
      </c>
      <c r="K121">
        <f t="shared" si="1"/>
        <v>978236</v>
      </c>
    </row>
    <row r="122" spans="1:11" x14ac:dyDescent="0.2">
      <c r="A122" s="32" t="s">
        <v>96</v>
      </c>
      <c r="B122" s="6" t="s">
        <v>57</v>
      </c>
      <c r="C122" s="6">
        <v>2729</v>
      </c>
      <c r="D122" s="33">
        <v>10</v>
      </c>
      <c r="E122" s="2">
        <v>125</v>
      </c>
      <c r="F122" s="2" t="s">
        <v>584</v>
      </c>
      <c r="G122" s="3" t="s">
        <v>585</v>
      </c>
      <c r="H122" s="35" t="s">
        <v>586</v>
      </c>
      <c r="I122" s="2" t="s">
        <v>587</v>
      </c>
      <c r="J122" s="34">
        <v>41651</v>
      </c>
      <c r="K122">
        <f t="shared" si="1"/>
        <v>334302.5</v>
      </c>
    </row>
    <row r="123" spans="1:11" x14ac:dyDescent="0.2">
      <c r="A123" s="32" t="s">
        <v>71</v>
      </c>
      <c r="B123" s="6" t="s">
        <v>57</v>
      </c>
      <c r="C123" s="6">
        <v>1925</v>
      </c>
      <c r="D123" s="33">
        <v>10</v>
      </c>
      <c r="E123" s="2">
        <v>15</v>
      </c>
      <c r="F123" s="2">
        <v>28875</v>
      </c>
      <c r="G123" s="3" t="s">
        <v>588</v>
      </c>
      <c r="H123" s="35">
        <v>28297.5</v>
      </c>
      <c r="I123" s="2">
        <v>19250</v>
      </c>
      <c r="J123" s="34">
        <v>41286</v>
      </c>
      <c r="K123">
        <f t="shared" si="1"/>
        <v>28297.5</v>
      </c>
    </row>
    <row r="124" spans="1:11" x14ac:dyDescent="0.2">
      <c r="A124" s="32" t="s">
        <v>34</v>
      </c>
      <c r="B124" s="6" t="s">
        <v>57</v>
      </c>
      <c r="C124" s="6">
        <v>2013</v>
      </c>
      <c r="D124" s="33">
        <v>10</v>
      </c>
      <c r="E124" s="2">
        <v>7</v>
      </c>
      <c r="F124" s="2">
        <v>14091</v>
      </c>
      <c r="G124" s="3" t="s">
        <v>589</v>
      </c>
      <c r="H124" s="35">
        <v>13809.18</v>
      </c>
      <c r="I124" s="2">
        <v>10065</v>
      </c>
      <c r="J124" s="34">
        <v>41286</v>
      </c>
      <c r="K124">
        <f t="shared" si="1"/>
        <v>13809.18</v>
      </c>
    </row>
    <row r="125" spans="1:11" x14ac:dyDescent="0.2">
      <c r="A125" s="32" t="s">
        <v>94</v>
      </c>
      <c r="B125" s="6" t="s">
        <v>57</v>
      </c>
      <c r="C125" s="6">
        <v>1055</v>
      </c>
      <c r="D125" s="33">
        <v>10</v>
      </c>
      <c r="E125" s="2">
        <v>12</v>
      </c>
      <c r="F125" s="2">
        <v>12660</v>
      </c>
      <c r="G125" s="3" t="s">
        <v>590</v>
      </c>
      <c r="H125" s="35">
        <v>12406.8</v>
      </c>
      <c r="I125" s="2">
        <v>3165</v>
      </c>
      <c r="J125" s="34">
        <v>41651</v>
      </c>
      <c r="K125">
        <f t="shared" si="1"/>
        <v>12406.8</v>
      </c>
    </row>
    <row r="126" spans="1:11" x14ac:dyDescent="0.2">
      <c r="A126" s="32" t="s">
        <v>97</v>
      </c>
      <c r="B126" s="6" t="s">
        <v>57</v>
      </c>
      <c r="C126" s="6">
        <v>1084</v>
      </c>
      <c r="D126" s="33">
        <v>10</v>
      </c>
      <c r="E126" s="2">
        <v>12</v>
      </c>
      <c r="F126" s="2">
        <v>13008</v>
      </c>
      <c r="G126" s="3" t="s">
        <v>591</v>
      </c>
      <c r="H126" s="35">
        <v>12747.84</v>
      </c>
      <c r="I126" s="2">
        <v>3252</v>
      </c>
      <c r="J126" s="34">
        <v>41651</v>
      </c>
      <c r="K126">
        <f t="shared" si="1"/>
        <v>12747.84</v>
      </c>
    </row>
    <row r="127" spans="1:11" x14ac:dyDescent="0.2">
      <c r="A127" s="32" t="s">
        <v>98</v>
      </c>
      <c r="B127" s="6" t="s">
        <v>57</v>
      </c>
      <c r="C127" s="6">
        <v>1566</v>
      </c>
      <c r="D127" s="33">
        <v>120</v>
      </c>
      <c r="E127" s="2">
        <v>20</v>
      </c>
      <c r="F127" s="2">
        <v>31320</v>
      </c>
      <c r="G127" s="3" t="s">
        <v>557</v>
      </c>
      <c r="H127" s="35">
        <v>30693.599999999999</v>
      </c>
      <c r="I127" s="2">
        <v>15660</v>
      </c>
      <c r="J127" s="34">
        <v>41649</v>
      </c>
      <c r="K127">
        <f t="shared" si="1"/>
        <v>30693.599999999999</v>
      </c>
    </row>
    <row r="128" spans="1:11" x14ac:dyDescent="0.2">
      <c r="A128" s="32" t="s">
        <v>40</v>
      </c>
      <c r="B128" s="6" t="s">
        <v>57</v>
      </c>
      <c r="C128" s="6">
        <v>2966</v>
      </c>
      <c r="D128" s="33">
        <v>120</v>
      </c>
      <c r="E128" s="2">
        <v>350</v>
      </c>
      <c r="F128" s="2" t="s">
        <v>592</v>
      </c>
      <c r="G128" s="3" t="s">
        <v>593</v>
      </c>
      <c r="H128" s="35" t="s">
        <v>594</v>
      </c>
      <c r="I128" s="2" t="s">
        <v>595</v>
      </c>
      <c r="J128" s="34">
        <v>41284</v>
      </c>
      <c r="K128">
        <f t="shared" si="1"/>
        <v>1017338</v>
      </c>
    </row>
    <row r="129" spans="1:11" x14ac:dyDescent="0.2">
      <c r="A129" s="32" t="s">
        <v>40</v>
      </c>
      <c r="B129" s="6" t="s">
        <v>57</v>
      </c>
      <c r="C129" s="6">
        <v>2877</v>
      </c>
      <c r="D129" s="33">
        <v>120</v>
      </c>
      <c r="E129" s="2">
        <v>350</v>
      </c>
      <c r="F129" s="2" t="s">
        <v>596</v>
      </c>
      <c r="G129" s="3" t="s">
        <v>597</v>
      </c>
      <c r="H129" s="35" t="s">
        <v>598</v>
      </c>
      <c r="I129" s="2" t="s">
        <v>599</v>
      </c>
      <c r="J129" s="34">
        <v>41649</v>
      </c>
      <c r="K129">
        <f t="shared" si="1"/>
        <v>986811</v>
      </c>
    </row>
    <row r="130" spans="1:11" x14ac:dyDescent="0.2">
      <c r="A130" s="32" t="s">
        <v>99</v>
      </c>
      <c r="B130" s="6" t="s">
        <v>57</v>
      </c>
      <c r="C130" s="6">
        <v>809</v>
      </c>
      <c r="D130" s="33">
        <v>120</v>
      </c>
      <c r="E130" s="2">
        <v>125</v>
      </c>
      <c r="F130" s="2" t="s">
        <v>573</v>
      </c>
      <c r="G130" s="3" t="s">
        <v>574</v>
      </c>
      <c r="H130" s="35">
        <v>99102.5</v>
      </c>
      <c r="I130" s="2">
        <v>97080</v>
      </c>
      <c r="J130" s="34">
        <v>41284</v>
      </c>
      <c r="K130">
        <f t="shared" si="1"/>
        <v>99102.5</v>
      </c>
    </row>
    <row r="131" spans="1:11" x14ac:dyDescent="0.2">
      <c r="A131" s="32" t="s">
        <v>100</v>
      </c>
      <c r="B131" s="6" t="s">
        <v>57</v>
      </c>
      <c r="C131" s="6">
        <v>2145</v>
      </c>
      <c r="D131" s="33">
        <v>120</v>
      </c>
      <c r="E131" s="2">
        <v>125</v>
      </c>
      <c r="F131" s="2" t="s">
        <v>575</v>
      </c>
      <c r="G131" s="3" t="s">
        <v>576</v>
      </c>
      <c r="H131" s="35" t="s">
        <v>577</v>
      </c>
      <c r="I131" s="2" t="s">
        <v>578</v>
      </c>
      <c r="J131" s="34">
        <v>41284</v>
      </c>
      <c r="K131">
        <f t="shared" si="1"/>
        <v>262762.5</v>
      </c>
    </row>
    <row r="132" spans="1:11" x14ac:dyDescent="0.2">
      <c r="A132" s="32" t="s">
        <v>101</v>
      </c>
      <c r="B132" s="6" t="s">
        <v>57</v>
      </c>
      <c r="C132" s="6">
        <v>1055</v>
      </c>
      <c r="D132" s="33">
        <v>120</v>
      </c>
      <c r="E132" s="2">
        <v>12</v>
      </c>
      <c r="F132" s="2">
        <v>12660</v>
      </c>
      <c r="G132" s="3" t="s">
        <v>590</v>
      </c>
      <c r="H132" s="35">
        <v>12406.8</v>
      </c>
      <c r="I132" s="2">
        <v>3165</v>
      </c>
      <c r="J132" s="34">
        <v>41651</v>
      </c>
      <c r="K132">
        <f t="shared" si="1"/>
        <v>12406.8</v>
      </c>
    </row>
    <row r="133" spans="1:11" x14ac:dyDescent="0.2">
      <c r="A133" s="32" t="s">
        <v>37</v>
      </c>
      <c r="B133" s="6" t="s">
        <v>57</v>
      </c>
      <c r="C133" s="6">
        <v>544</v>
      </c>
      <c r="D133" s="33">
        <v>120</v>
      </c>
      <c r="E133" s="2">
        <v>20</v>
      </c>
      <c r="F133" s="2">
        <v>10880</v>
      </c>
      <c r="G133" s="3" t="s">
        <v>600</v>
      </c>
      <c r="H133" s="35">
        <v>10662.4</v>
      </c>
      <c r="I133" s="2">
        <v>5440</v>
      </c>
      <c r="J133" s="34">
        <v>41286</v>
      </c>
      <c r="K133">
        <f t="shared" ref="K133:K196" si="2">_xlfn.NUMBERVALUE(SUBSTITUTE(H133," $","",1))</f>
        <v>10662.4</v>
      </c>
    </row>
    <row r="134" spans="1:11" x14ac:dyDescent="0.2">
      <c r="A134" s="32" t="s">
        <v>102</v>
      </c>
      <c r="B134" s="6" t="s">
        <v>57</v>
      </c>
      <c r="C134" s="6">
        <v>1084</v>
      </c>
      <c r="D134" s="33">
        <v>120</v>
      </c>
      <c r="E134" s="2">
        <v>12</v>
      </c>
      <c r="F134" s="2">
        <v>13008</v>
      </c>
      <c r="G134" s="3" t="s">
        <v>591</v>
      </c>
      <c r="H134" s="35">
        <v>12747.84</v>
      </c>
      <c r="I134" s="2">
        <v>3252</v>
      </c>
      <c r="J134" s="34">
        <v>41651</v>
      </c>
      <c r="K134">
        <f t="shared" si="2"/>
        <v>12747.84</v>
      </c>
    </row>
    <row r="135" spans="1:11" x14ac:dyDescent="0.2">
      <c r="A135" s="32" t="s">
        <v>103</v>
      </c>
      <c r="B135" s="6" t="s">
        <v>57</v>
      </c>
      <c r="C135" s="6">
        <v>662</v>
      </c>
      <c r="D135" s="33">
        <v>250</v>
      </c>
      <c r="E135" s="2">
        <v>125</v>
      </c>
      <c r="F135" s="2">
        <v>82750</v>
      </c>
      <c r="G135" s="3" t="s">
        <v>572</v>
      </c>
      <c r="H135" s="35">
        <v>81095</v>
      </c>
      <c r="I135" s="2">
        <v>79440</v>
      </c>
      <c r="J135" s="34">
        <v>41645</v>
      </c>
      <c r="K135">
        <f t="shared" si="2"/>
        <v>81095</v>
      </c>
    </row>
    <row r="136" spans="1:11" x14ac:dyDescent="0.2">
      <c r="A136" s="32" t="s">
        <v>81</v>
      </c>
      <c r="B136" s="6" t="s">
        <v>57</v>
      </c>
      <c r="C136" s="6">
        <v>214</v>
      </c>
      <c r="D136" s="33">
        <v>250</v>
      </c>
      <c r="E136" s="2">
        <v>300</v>
      </c>
      <c r="F136" s="2">
        <v>64200</v>
      </c>
      <c r="G136" s="3" t="s">
        <v>550</v>
      </c>
      <c r="H136" s="35">
        <v>62916</v>
      </c>
      <c r="I136" s="2">
        <v>53500</v>
      </c>
      <c r="J136" s="34">
        <v>41284</v>
      </c>
      <c r="K136">
        <f t="shared" si="2"/>
        <v>62916</v>
      </c>
    </row>
    <row r="137" spans="1:11" x14ac:dyDescent="0.2">
      <c r="A137" s="32" t="s">
        <v>78</v>
      </c>
      <c r="B137" s="6" t="s">
        <v>57</v>
      </c>
      <c r="C137" s="6">
        <v>2877</v>
      </c>
      <c r="D137" s="33">
        <v>250</v>
      </c>
      <c r="E137" s="2">
        <v>350</v>
      </c>
      <c r="F137" s="2" t="s">
        <v>596</v>
      </c>
      <c r="G137" s="3" t="s">
        <v>597</v>
      </c>
      <c r="H137" s="35" t="s">
        <v>598</v>
      </c>
      <c r="I137" s="2" t="s">
        <v>599</v>
      </c>
      <c r="J137" s="34">
        <v>41649</v>
      </c>
      <c r="K137">
        <f t="shared" si="2"/>
        <v>986811</v>
      </c>
    </row>
    <row r="138" spans="1:11" x14ac:dyDescent="0.2">
      <c r="A138" s="32" t="s">
        <v>104</v>
      </c>
      <c r="B138" s="6" t="s">
        <v>57</v>
      </c>
      <c r="C138" s="6">
        <v>2729</v>
      </c>
      <c r="D138" s="33">
        <v>250</v>
      </c>
      <c r="E138" s="2">
        <v>125</v>
      </c>
      <c r="F138" s="2" t="s">
        <v>584</v>
      </c>
      <c r="G138" s="3" t="s">
        <v>585</v>
      </c>
      <c r="H138" s="35" t="s">
        <v>586</v>
      </c>
      <c r="I138" s="2" t="s">
        <v>587</v>
      </c>
      <c r="J138" s="34">
        <v>41651</v>
      </c>
      <c r="K138">
        <f t="shared" si="2"/>
        <v>334302.5</v>
      </c>
    </row>
    <row r="139" spans="1:11" x14ac:dyDescent="0.2">
      <c r="A139" s="32" t="s">
        <v>105</v>
      </c>
      <c r="B139" s="6" t="s">
        <v>57</v>
      </c>
      <c r="C139" s="6">
        <v>266</v>
      </c>
      <c r="D139" s="33">
        <v>250</v>
      </c>
      <c r="E139" s="2">
        <v>350</v>
      </c>
      <c r="F139" s="2">
        <v>93100</v>
      </c>
      <c r="G139" s="3" t="s">
        <v>601</v>
      </c>
      <c r="H139" s="35">
        <v>91238</v>
      </c>
      <c r="I139" s="2">
        <v>69160</v>
      </c>
      <c r="J139" s="34">
        <v>41286</v>
      </c>
      <c r="K139">
        <f t="shared" si="2"/>
        <v>91238</v>
      </c>
    </row>
    <row r="140" spans="1:11" x14ac:dyDescent="0.2">
      <c r="A140" s="32" t="s">
        <v>83</v>
      </c>
      <c r="B140" s="6" t="s">
        <v>57</v>
      </c>
      <c r="C140" s="6">
        <v>1940</v>
      </c>
      <c r="D140" s="33">
        <v>250</v>
      </c>
      <c r="E140" s="2">
        <v>350</v>
      </c>
      <c r="F140" s="2" t="s">
        <v>602</v>
      </c>
      <c r="G140" s="3" t="s">
        <v>603</v>
      </c>
      <c r="H140" s="35" t="s">
        <v>604</v>
      </c>
      <c r="I140" s="2" t="s">
        <v>605</v>
      </c>
      <c r="J140" s="34">
        <v>41286</v>
      </c>
      <c r="K140">
        <f t="shared" si="2"/>
        <v>665420</v>
      </c>
    </row>
    <row r="141" spans="1:11" x14ac:dyDescent="0.2">
      <c r="A141" s="32" t="s">
        <v>106</v>
      </c>
      <c r="B141" s="6" t="s">
        <v>57</v>
      </c>
      <c r="C141" s="6">
        <v>259</v>
      </c>
      <c r="D141" s="33">
        <v>260</v>
      </c>
      <c r="E141" s="2">
        <v>300</v>
      </c>
      <c r="F141" s="2">
        <v>77700</v>
      </c>
      <c r="G141" s="3" t="s">
        <v>606</v>
      </c>
      <c r="H141" s="35">
        <v>76146</v>
      </c>
      <c r="I141" s="2">
        <v>64750</v>
      </c>
      <c r="J141" s="34">
        <v>41642</v>
      </c>
      <c r="K141">
        <f t="shared" si="2"/>
        <v>76146</v>
      </c>
    </row>
    <row r="142" spans="1:11" x14ac:dyDescent="0.2">
      <c r="A142" s="32" t="s">
        <v>107</v>
      </c>
      <c r="B142" s="6" t="s">
        <v>57</v>
      </c>
      <c r="C142" s="6">
        <v>1101</v>
      </c>
      <c r="D142" s="33">
        <v>260</v>
      </c>
      <c r="E142" s="2">
        <v>300</v>
      </c>
      <c r="F142" s="2" t="s">
        <v>607</v>
      </c>
      <c r="G142" s="3" t="s">
        <v>608</v>
      </c>
      <c r="H142" s="35" t="s">
        <v>609</v>
      </c>
      <c r="I142" s="2" t="s">
        <v>610</v>
      </c>
      <c r="J142" s="34">
        <v>41642</v>
      </c>
      <c r="K142">
        <f t="shared" si="2"/>
        <v>323694</v>
      </c>
    </row>
    <row r="143" spans="1:11" x14ac:dyDescent="0.2">
      <c r="A143" s="32" t="s">
        <v>52</v>
      </c>
      <c r="B143" s="6" t="s">
        <v>57</v>
      </c>
      <c r="C143" s="6">
        <v>2276</v>
      </c>
      <c r="D143" s="33">
        <v>260</v>
      </c>
      <c r="E143" s="2">
        <v>125</v>
      </c>
      <c r="F143" s="2" t="s">
        <v>611</v>
      </c>
      <c r="G143" s="3" t="s">
        <v>612</v>
      </c>
      <c r="H143" s="35" t="s">
        <v>613</v>
      </c>
      <c r="I143" s="2" t="s">
        <v>614</v>
      </c>
      <c r="J143" s="34">
        <v>41644</v>
      </c>
      <c r="K143">
        <f t="shared" si="2"/>
        <v>278810</v>
      </c>
    </row>
    <row r="144" spans="1:11" x14ac:dyDescent="0.2">
      <c r="A144" s="32" t="s">
        <v>53</v>
      </c>
      <c r="B144" s="6" t="s">
        <v>57</v>
      </c>
      <c r="C144" s="6">
        <v>2966</v>
      </c>
      <c r="D144" s="33">
        <v>260</v>
      </c>
      <c r="E144" s="2">
        <v>350</v>
      </c>
      <c r="F144" s="2" t="s">
        <v>592</v>
      </c>
      <c r="G144" s="3" t="s">
        <v>593</v>
      </c>
      <c r="H144" s="35" t="s">
        <v>594</v>
      </c>
      <c r="I144" s="2" t="s">
        <v>595</v>
      </c>
      <c r="J144" s="34">
        <v>41284</v>
      </c>
      <c r="K144">
        <f t="shared" si="2"/>
        <v>1017338</v>
      </c>
    </row>
    <row r="145" spans="1:11" x14ac:dyDescent="0.2">
      <c r="A145" s="32" t="s">
        <v>54</v>
      </c>
      <c r="B145" s="6" t="s">
        <v>57</v>
      </c>
      <c r="C145" s="6">
        <v>1236</v>
      </c>
      <c r="D145" s="33">
        <v>260</v>
      </c>
      <c r="E145" s="2">
        <v>20</v>
      </c>
      <c r="F145" s="2">
        <v>24720</v>
      </c>
      <c r="G145" s="3" t="s">
        <v>615</v>
      </c>
      <c r="H145" s="35">
        <v>24225.599999999999</v>
      </c>
      <c r="I145" s="2">
        <v>12360</v>
      </c>
      <c r="J145" s="34">
        <v>41650</v>
      </c>
      <c r="K145">
        <f t="shared" si="2"/>
        <v>24225.599999999999</v>
      </c>
    </row>
    <row r="146" spans="1:11" x14ac:dyDescent="0.2">
      <c r="A146" s="32" t="s">
        <v>50</v>
      </c>
      <c r="B146" s="6" t="s">
        <v>57</v>
      </c>
      <c r="C146" s="6">
        <v>941</v>
      </c>
      <c r="D146" s="33">
        <v>260</v>
      </c>
      <c r="E146" s="2">
        <v>20</v>
      </c>
      <c r="F146" s="2">
        <v>18820</v>
      </c>
      <c r="G146" s="3" t="s">
        <v>616</v>
      </c>
      <c r="H146" s="35">
        <v>18443.599999999999</v>
      </c>
      <c r="I146" s="2">
        <v>9410</v>
      </c>
      <c r="J146" s="34">
        <v>41650</v>
      </c>
      <c r="K146">
        <f t="shared" si="2"/>
        <v>18443.599999999999</v>
      </c>
    </row>
    <row r="147" spans="1:11" x14ac:dyDescent="0.2">
      <c r="A147" s="32" t="s">
        <v>108</v>
      </c>
      <c r="B147" s="6" t="s">
        <v>57</v>
      </c>
      <c r="C147" s="6">
        <v>1916</v>
      </c>
      <c r="D147" s="33">
        <v>260</v>
      </c>
      <c r="E147" s="2">
        <v>300</v>
      </c>
      <c r="F147" s="2" t="s">
        <v>580</v>
      </c>
      <c r="G147" s="3" t="s">
        <v>581</v>
      </c>
      <c r="H147" s="35" t="s">
        <v>582</v>
      </c>
      <c r="I147" s="2" t="s">
        <v>583</v>
      </c>
      <c r="J147" s="34">
        <v>41651</v>
      </c>
      <c r="K147">
        <f t="shared" si="2"/>
        <v>563304</v>
      </c>
    </row>
    <row r="148" spans="1:11" x14ac:dyDescent="0.2">
      <c r="A148" s="32" t="s">
        <v>109</v>
      </c>
      <c r="B148" s="6" t="s">
        <v>57</v>
      </c>
      <c r="C148" s="6">
        <v>4243.5</v>
      </c>
      <c r="D148" s="33">
        <v>3</v>
      </c>
      <c r="E148" s="2">
        <v>125</v>
      </c>
      <c r="F148" s="2" t="s">
        <v>617</v>
      </c>
      <c r="G148" s="3" t="s">
        <v>618</v>
      </c>
      <c r="H148" s="35" t="s">
        <v>619</v>
      </c>
      <c r="I148" s="2" t="s">
        <v>620</v>
      </c>
      <c r="J148" s="34">
        <v>41643</v>
      </c>
      <c r="K148">
        <f t="shared" si="2"/>
        <v>514524.38</v>
      </c>
    </row>
    <row r="149" spans="1:11" x14ac:dyDescent="0.2">
      <c r="A149" s="32" t="s">
        <v>13</v>
      </c>
      <c r="B149" s="6" t="s">
        <v>57</v>
      </c>
      <c r="C149" s="6">
        <v>2580</v>
      </c>
      <c r="D149" s="33">
        <v>3</v>
      </c>
      <c r="E149" s="2">
        <v>20</v>
      </c>
      <c r="F149" s="2">
        <v>51600</v>
      </c>
      <c r="G149" s="3" t="s">
        <v>621</v>
      </c>
      <c r="H149" s="35">
        <v>50052</v>
      </c>
      <c r="I149" s="2">
        <v>25800</v>
      </c>
      <c r="J149" s="34">
        <v>41643</v>
      </c>
      <c r="K149">
        <f t="shared" si="2"/>
        <v>50052</v>
      </c>
    </row>
    <row r="150" spans="1:11" x14ac:dyDescent="0.2">
      <c r="A150" s="32" t="s">
        <v>86</v>
      </c>
      <c r="B150" s="6" t="s">
        <v>57</v>
      </c>
      <c r="C150" s="6">
        <v>689</v>
      </c>
      <c r="D150" s="33">
        <v>3</v>
      </c>
      <c r="E150" s="2">
        <v>300</v>
      </c>
      <c r="F150" s="2" t="s">
        <v>622</v>
      </c>
      <c r="G150" s="3" t="s">
        <v>623</v>
      </c>
      <c r="H150" s="35" t="s">
        <v>624</v>
      </c>
      <c r="I150" s="2" t="s">
        <v>625</v>
      </c>
      <c r="J150" s="34">
        <v>41645</v>
      </c>
      <c r="K150">
        <f t="shared" si="2"/>
        <v>200499</v>
      </c>
    </row>
    <row r="151" spans="1:11" x14ac:dyDescent="0.2">
      <c r="A151" s="32" t="s">
        <v>59</v>
      </c>
      <c r="B151" s="6" t="s">
        <v>57</v>
      </c>
      <c r="C151" s="6">
        <v>1947</v>
      </c>
      <c r="D151" s="33">
        <v>3</v>
      </c>
      <c r="E151" s="2">
        <v>12</v>
      </c>
      <c r="F151" s="2">
        <v>23364</v>
      </c>
      <c r="G151" s="3" t="s">
        <v>626</v>
      </c>
      <c r="H151" s="35">
        <v>22663.08</v>
      </c>
      <c r="I151" s="2">
        <v>5841</v>
      </c>
      <c r="J151" s="34">
        <v>41648</v>
      </c>
      <c r="K151">
        <f t="shared" si="2"/>
        <v>22663.08</v>
      </c>
    </row>
    <row r="152" spans="1:11" x14ac:dyDescent="0.2">
      <c r="A152" s="32" t="s">
        <v>62</v>
      </c>
      <c r="B152" s="6" t="s">
        <v>57</v>
      </c>
      <c r="C152" s="6">
        <v>908</v>
      </c>
      <c r="D152" s="33">
        <v>3</v>
      </c>
      <c r="E152" s="2">
        <v>12</v>
      </c>
      <c r="F152" s="2">
        <v>10896</v>
      </c>
      <c r="G152" s="3" t="s">
        <v>627</v>
      </c>
      <c r="H152" s="35">
        <v>10569.12</v>
      </c>
      <c r="I152" s="2">
        <v>2724</v>
      </c>
      <c r="J152" s="34">
        <v>41286</v>
      </c>
      <c r="K152">
        <f t="shared" si="2"/>
        <v>10569.12</v>
      </c>
    </row>
    <row r="153" spans="1:11" x14ac:dyDescent="0.2">
      <c r="A153" s="32" t="s">
        <v>24</v>
      </c>
      <c r="B153" s="6" t="s">
        <v>57</v>
      </c>
      <c r="C153" s="6">
        <v>1958</v>
      </c>
      <c r="D153" s="33">
        <v>5</v>
      </c>
      <c r="E153" s="2">
        <v>7</v>
      </c>
      <c r="F153" s="2">
        <v>13706</v>
      </c>
      <c r="G153" s="3" t="s">
        <v>628</v>
      </c>
      <c r="H153" s="35">
        <v>13294.82</v>
      </c>
      <c r="I153" s="2">
        <v>9790</v>
      </c>
      <c r="J153" s="34">
        <v>41641</v>
      </c>
      <c r="K153">
        <f t="shared" si="2"/>
        <v>13294.82</v>
      </c>
    </row>
    <row r="154" spans="1:11" x14ac:dyDescent="0.2">
      <c r="A154" s="32" t="s">
        <v>110</v>
      </c>
      <c r="B154" s="6" t="s">
        <v>57</v>
      </c>
      <c r="C154" s="6">
        <v>1901</v>
      </c>
      <c r="D154" s="33">
        <v>5</v>
      </c>
      <c r="E154" s="2">
        <v>12</v>
      </c>
      <c r="F154" s="2">
        <v>22812</v>
      </c>
      <c r="G154" s="3" t="s">
        <v>629</v>
      </c>
      <c r="H154" s="35">
        <v>22127.64</v>
      </c>
      <c r="I154" s="2">
        <v>5703</v>
      </c>
      <c r="J154" s="34">
        <v>41645</v>
      </c>
      <c r="K154">
        <f t="shared" si="2"/>
        <v>22127.64</v>
      </c>
    </row>
    <row r="155" spans="1:11" x14ac:dyDescent="0.2">
      <c r="A155" s="32" t="s">
        <v>19</v>
      </c>
      <c r="B155" s="6" t="s">
        <v>57</v>
      </c>
      <c r="C155" s="6">
        <v>544</v>
      </c>
      <c r="D155" s="33">
        <v>5</v>
      </c>
      <c r="E155" s="2">
        <v>7</v>
      </c>
      <c r="F155" s="2">
        <v>3808</v>
      </c>
      <c r="G155" s="3" t="s">
        <v>630</v>
      </c>
      <c r="H155" s="35">
        <v>3693.76</v>
      </c>
      <c r="I155" s="2">
        <v>2720</v>
      </c>
      <c r="J155" s="34">
        <v>41648</v>
      </c>
      <c r="K155">
        <f t="shared" si="2"/>
        <v>3693.76</v>
      </c>
    </row>
    <row r="156" spans="1:11" x14ac:dyDescent="0.2">
      <c r="A156" s="32" t="s">
        <v>24</v>
      </c>
      <c r="B156" s="6" t="s">
        <v>57</v>
      </c>
      <c r="C156" s="6">
        <v>1797</v>
      </c>
      <c r="D156" s="33">
        <v>5</v>
      </c>
      <c r="E156" s="2">
        <v>350</v>
      </c>
      <c r="F156" s="2" t="s">
        <v>631</v>
      </c>
      <c r="G156" s="3" t="s">
        <v>632</v>
      </c>
      <c r="H156" s="35" t="s">
        <v>633</v>
      </c>
      <c r="I156" s="2" t="s">
        <v>634</v>
      </c>
      <c r="J156" s="34">
        <v>41283</v>
      </c>
      <c r="K156">
        <f t="shared" si="2"/>
        <v>610081.5</v>
      </c>
    </row>
    <row r="157" spans="1:11" x14ac:dyDescent="0.2">
      <c r="A157" s="32" t="s">
        <v>111</v>
      </c>
      <c r="B157" s="6" t="s">
        <v>57</v>
      </c>
      <c r="C157" s="6">
        <v>1287</v>
      </c>
      <c r="D157" s="33">
        <v>5</v>
      </c>
      <c r="E157" s="2">
        <v>125</v>
      </c>
      <c r="F157" s="2" t="s">
        <v>635</v>
      </c>
      <c r="G157" s="3" t="s">
        <v>636</v>
      </c>
      <c r="H157" s="35" t="s">
        <v>637</v>
      </c>
      <c r="I157" s="2" t="s">
        <v>638</v>
      </c>
      <c r="J157" s="34">
        <v>41651</v>
      </c>
      <c r="K157">
        <f t="shared" si="2"/>
        <v>156048.75</v>
      </c>
    </row>
    <row r="158" spans="1:11" x14ac:dyDescent="0.2">
      <c r="A158" s="32" t="s">
        <v>112</v>
      </c>
      <c r="B158" s="6" t="s">
        <v>57</v>
      </c>
      <c r="C158" s="6">
        <v>1706</v>
      </c>
      <c r="D158" s="33">
        <v>5</v>
      </c>
      <c r="E158" s="2">
        <v>125</v>
      </c>
      <c r="F158" s="2" t="s">
        <v>639</v>
      </c>
      <c r="G158" s="3" t="s">
        <v>640</v>
      </c>
      <c r="H158" s="35" t="s">
        <v>641</v>
      </c>
      <c r="I158" s="2" t="s">
        <v>642</v>
      </c>
      <c r="J158" s="34">
        <v>41651</v>
      </c>
      <c r="K158">
        <f t="shared" si="2"/>
        <v>206852.5</v>
      </c>
    </row>
    <row r="159" spans="1:11" x14ac:dyDescent="0.2">
      <c r="A159" s="32" t="s">
        <v>91</v>
      </c>
      <c r="B159" s="6" t="s">
        <v>57</v>
      </c>
      <c r="C159" s="6">
        <v>2434.5</v>
      </c>
      <c r="D159" s="33">
        <v>10</v>
      </c>
      <c r="E159" s="2">
        <v>300</v>
      </c>
      <c r="F159" s="2" t="s">
        <v>643</v>
      </c>
      <c r="G159" s="3" t="s">
        <v>644</v>
      </c>
      <c r="H159" s="35" t="s">
        <v>645</v>
      </c>
      <c r="I159" s="2" t="s">
        <v>646</v>
      </c>
      <c r="J159" s="34">
        <v>41640</v>
      </c>
      <c r="K159">
        <f t="shared" si="2"/>
        <v>708439.5</v>
      </c>
    </row>
    <row r="160" spans="1:11" x14ac:dyDescent="0.2">
      <c r="A160" s="32" t="s">
        <v>96</v>
      </c>
      <c r="B160" s="6" t="s">
        <v>57</v>
      </c>
      <c r="C160" s="6">
        <v>1774</v>
      </c>
      <c r="D160" s="33">
        <v>10</v>
      </c>
      <c r="E160" s="2">
        <v>125</v>
      </c>
      <c r="F160" s="2" t="s">
        <v>647</v>
      </c>
      <c r="G160" s="3" t="s">
        <v>648</v>
      </c>
      <c r="H160" s="35" t="s">
        <v>649</v>
      </c>
      <c r="I160" s="2" t="s">
        <v>650</v>
      </c>
      <c r="J160" s="34">
        <v>41642</v>
      </c>
      <c r="K160">
        <f t="shared" si="2"/>
        <v>215097.5</v>
      </c>
    </row>
    <row r="161" spans="1:11" x14ac:dyDescent="0.2">
      <c r="A161" s="32" t="s">
        <v>94</v>
      </c>
      <c r="B161" s="6" t="s">
        <v>57</v>
      </c>
      <c r="C161" s="6">
        <v>1901</v>
      </c>
      <c r="D161" s="33">
        <v>10</v>
      </c>
      <c r="E161" s="2">
        <v>12</v>
      </c>
      <c r="F161" s="2">
        <v>22812</v>
      </c>
      <c r="G161" s="3" t="s">
        <v>629</v>
      </c>
      <c r="H161" s="35">
        <v>22127.64</v>
      </c>
      <c r="I161" s="2">
        <v>5703</v>
      </c>
      <c r="J161" s="34">
        <v>41645</v>
      </c>
      <c r="K161">
        <f t="shared" si="2"/>
        <v>22127.64</v>
      </c>
    </row>
    <row r="162" spans="1:11" x14ac:dyDescent="0.2">
      <c r="A162" s="32" t="s">
        <v>92</v>
      </c>
      <c r="B162" s="6" t="s">
        <v>57</v>
      </c>
      <c r="C162" s="6">
        <v>689</v>
      </c>
      <c r="D162" s="33">
        <v>10</v>
      </c>
      <c r="E162" s="2">
        <v>300</v>
      </c>
      <c r="F162" s="2" t="s">
        <v>622</v>
      </c>
      <c r="G162" s="3" t="s">
        <v>623</v>
      </c>
      <c r="H162" s="35" t="s">
        <v>624</v>
      </c>
      <c r="I162" s="2" t="s">
        <v>625</v>
      </c>
      <c r="J162" s="34">
        <v>41645</v>
      </c>
      <c r="K162">
        <f t="shared" si="2"/>
        <v>200499</v>
      </c>
    </row>
    <row r="163" spans="1:11" x14ac:dyDescent="0.2">
      <c r="A163" s="32" t="s">
        <v>93</v>
      </c>
      <c r="B163" s="6" t="s">
        <v>57</v>
      </c>
      <c r="C163" s="6">
        <v>1570</v>
      </c>
      <c r="D163" s="33">
        <v>10</v>
      </c>
      <c r="E163" s="2">
        <v>125</v>
      </c>
      <c r="F163" s="2" t="s">
        <v>651</v>
      </c>
      <c r="G163" s="3" t="s">
        <v>652</v>
      </c>
      <c r="H163" s="35" t="s">
        <v>653</v>
      </c>
      <c r="I163" s="2" t="s">
        <v>654</v>
      </c>
      <c r="J163" s="34">
        <v>41645</v>
      </c>
      <c r="K163">
        <f t="shared" si="2"/>
        <v>190362.5</v>
      </c>
    </row>
    <row r="164" spans="1:11" x14ac:dyDescent="0.2">
      <c r="A164" s="32" t="s">
        <v>35</v>
      </c>
      <c r="B164" s="6" t="s">
        <v>57</v>
      </c>
      <c r="C164" s="6">
        <v>1369.5</v>
      </c>
      <c r="D164" s="33">
        <v>10</v>
      </c>
      <c r="E164" s="2">
        <v>12</v>
      </c>
      <c r="F164" s="2">
        <v>16434</v>
      </c>
      <c r="G164" s="3" t="s">
        <v>655</v>
      </c>
      <c r="H164" s="35">
        <v>15940.98</v>
      </c>
      <c r="I164" s="2">
        <v>4108.5</v>
      </c>
      <c r="J164" s="34">
        <v>41646</v>
      </c>
      <c r="K164">
        <f t="shared" si="2"/>
        <v>15940.98</v>
      </c>
    </row>
    <row r="165" spans="1:11" x14ac:dyDescent="0.2">
      <c r="A165" s="32" t="s">
        <v>96</v>
      </c>
      <c r="B165" s="6" t="s">
        <v>57</v>
      </c>
      <c r="C165" s="6">
        <v>2009</v>
      </c>
      <c r="D165" s="33">
        <v>10</v>
      </c>
      <c r="E165" s="2">
        <v>125</v>
      </c>
      <c r="F165" s="2" t="s">
        <v>656</v>
      </c>
      <c r="G165" s="3" t="s">
        <v>657</v>
      </c>
      <c r="H165" s="35" t="s">
        <v>658</v>
      </c>
      <c r="I165" s="2" t="s">
        <v>659</v>
      </c>
      <c r="J165" s="34">
        <v>41649</v>
      </c>
      <c r="K165">
        <f t="shared" si="2"/>
        <v>243591.25</v>
      </c>
    </row>
    <row r="166" spans="1:11" x14ac:dyDescent="0.2">
      <c r="A166" s="32" t="s">
        <v>75</v>
      </c>
      <c r="B166" s="6" t="s">
        <v>57</v>
      </c>
      <c r="C166" s="6">
        <v>1945</v>
      </c>
      <c r="D166" s="33">
        <v>10</v>
      </c>
      <c r="E166" s="2">
        <v>15</v>
      </c>
      <c r="F166" s="2">
        <v>29175</v>
      </c>
      <c r="G166" s="3" t="s">
        <v>660</v>
      </c>
      <c r="H166" s="35">
        <v>28299.75</v>
      </c>
      <c r="I166" s="2">
        <v>19450</v>
      </c>
      <c r="J166" s="34">
        <v>41284</v>
      </c>
      <c r="K166">
        <f t="shared" si="2"/>
        <v>28299.75</v>
      </c>
    </row>
    <row r="167" spans="1:11" x14ac:dyDescent="0.2">
      <c r="A167" s="32" t="s">
        <v>73</v>
      </c>
      <c r="B167" s="6" t="s">
        <v>57</v>
      </c>
      <c r="C167" s="6">
        <v>1287</v>
      </c>
      <c r="D167" s="33">
        <v>10</v>
      </c>
      <c r="E167" s="2">
        <v>125</v>
      </c>
      <c r="F167" s="2" t="s">
        <v>635</v>
      </c>
      <c r="G167" s="3" t="s">
        <v>636</v>
      </c>
      <c r="H167" s="35" t="s">
        <v>637</v>
      </c>
      <c r="I167" s="2" t="s">
        <v>638</v>
      </c>
      <c r="J167" s="34">
        <v>41651</v>
      </c>
      <c r="K167">
        <f t="shared" si="2"/>
        <v>156048.75</v>
      </c>
    </row>
    <row r="168" spans="1:11" x14ac:dyDescent="0.2">
      <c r="A168" s="32" t="s">
        <v>93</v>
      </c>
      <c r="B168" s="6" t="s">
        <v>57</v>
      </c>
      <c r="C168" s="6">
        <v>1706</v>
      </c>
      <c r="D168" s="33">
        <v>10</v>
      </c>
      <c r="E168" s="2">
        <v>125</v>
      </c>
      <c r="F168" s="2" t="s">
        <v>639</v>
      </c>
      <c r="G168" s="3" t="s">
        <v>640</v>
      </c>
      <c r="H168" s="35" t="s">
        <v>641</v>
      </c>
      <c r="I168" s="2" t="s">
        <v>642</v>
      </c>
      <c r="J168" s="34">
        <v>41651</v>
      </c>
      <c r="K168">
        <f t="shared" si="2"/>
        <v>206852.5</v>
      </c>
    </row>
    <row r="169" spans="1:11" x14ac:dyDescent="0.2">
      <c r="A169" s="32" t="s">
        <v>42</v>
      </c>
      <c r="B169" s="6" t="s">
        <v>57</v>
      </c>
      <c r="C169" s="6">
        <v>2009</v>
      </c>
      <c r="D169" s="33">
        <v>120</v>
      </c>
      <c r="E169" s="2">
        <v>125</v>
      </c>
      <c r="F169" s="2" t="s">
        <v>656</v>
      </c>
      <c r="G169" s="3" t="s">
        <v>657</v>
      </c>
      <c r="H169" s="35" t="s">
        <v>658</v>
      </c>
      <c r="I169" s="2" t="s">
        <v>659</v>
      </c>
      <c r="J169" s="34">
        <v>41649</v>
      </c>
      <c r="K169">
        <f t="shared" si="2"/>
        <v>243591.25</v>
      </c>
    </row>
    <row r="170" spans="1:11" x14ac:dyDescent="0.2">
      <c r="A170" s="32" t="s">
        <v>113</v>
      </c>
      <c r="B170" s="6" t="s">
        <v>57</v>
      </c>
      <c r="C170" s="6">
        <v>2844</v>
      </c>
      <c r="D170" s="33">
        <v>250</v>
      </c>
      <c r="E170" s="2">
        <v>300</v>
      </c>
      <c r="F170" s="2" t="s">
        <v>661</v>
      </c>
      <c r="G170" s="3" t="s">
        <v>662</v>
      </c>
      <c r="H170" s="35" t="s">
        <v>663</v>
      </c>
      <c r="I170" s="2" t="s">
        <v>664</v>
      </c>
      <c r="J170" s="34">
        <v>41641</v>
      </c>
      <c r="K170">
        <f t="shared" si="2"/>
        <v>827604</v>
      </c>
    </row>
    <row r="171" spans="1:11" x14ac:dyDescent="0.2">
      <c r="A171" s="32" t="s">
        <v>114</v>
      </c>
      <c r="B171" s="6" t="s">
        <v>57</v>
      </c>
      <c r="C171" s="6">
        <v>1916</v>
      </c>
      <c r="D171" s="33">
        <v>250</v>
      </c>
      <c r="E171" s="2">
        <v>12</v>
      </c>
      <c r="F171" s="2">
        <v>22992</v>
      </c>
      <c r="G171" s="3" t="s">
        <v>665</v>
      </c>
      <c r="H171" s="35">
        <v>22302.240000000002</v>
      </c>
      <c r="I171" s="2">
        <v>5748</v>
      </c>
      <c r="J171" s="34">
        <v>41643</v>
      </c>
      <c r="K171">
        <f t="shared" si="2"/>
        <v>22302.240000000002</v>
      </c>
    </row>
    <row r="172" spans="1:11" x14ac:dyDescent="0.2">
      <c r="A172" s="32" t="s">
        <v>115</v>
      </c>
      <c r="B172" s="6" t="s">
        <v>57</v>
      </c>
      <c r="C172" s="6">
        <v>1570</v>
      </c>
      <c r="D172" s="33">
        <v>250</v>
      </c>
      <c r="E172" s="2">
        <v>125</v>
      </c>
      <c r="F172" s="2" t="s">
        <v>651</v>
      </c>
      <c r="G172" s="3" t="s">
        <v>652</v>
      </c>
      <c r="H172" s="35" t="s">
        <v>653</v>
      </c>
      <c r="I172" s="2" t="s">
        <v>654</v>
      </c>
      <c r="J172" s="34">
        <v>41645</v>
      </c>
      <c r="K172">
        <f t="shared" si="2"/>
        <v>190362.5</v>
      </c>
    </row>
    <row r="173" spans="1:11" x14ac:dyDescent="0.2">
      <c r="A173" s="32" t="s">
        <v>43</v>
      </c>
      <c r="B173" s="6" t="s">
        <v>57</v>
      </c>
      <c r="C173" s="6">
        <v>1874</v>
      </c>
      <c r="D173" s="33">
        <v>250</v>
      </c>
      <c r="E173" s="2">
        <v>300</v>
      </c>
      <c r="F173" s="2" t="s">
        <v>666</v>
      </c>
      <c r="G173" s="3" t="s">
        <v>667</v>
      </c>
      <c r="H173" s="35" t="s">
        <v>668</v>
      </c>
      <c r="I173" s="2" t="s">
        <v>669</v>
      </c>
      <c r="J173" s="34">
        <v>41647</v>
      </c>
      <c r="K173">
        <f t="shared" si="2"/>
        <v>545334</v>
      </c>
    </row>
    <row r="174" spans="1:11" x14ac:dyDescent="0.2">
      <c r="A174" s="32" t="s">
        <v>83</v>
      </c>
      <c r="B174" s="6" t="s">
        <v>57</v>
      </c>
      <c r="C174" s="6">
        <v>1642</v>
      </c>
      <c r="D174" s="33">
        <v>250</v>
      </c>
      <c r="E174" s="2">
        <v>350</v>
      </c>
      <c r="F174" s="2" t="s">
        <v>670</v>
      </c>
      <c r="G174" s="3" t="s">
        <v>671</v>
      </c>
      <c r="H174" s="35" t="s">
        <v>672</v>
      </c>
      <c r="I174" s="2" t="s">
        <v>673</v>
      </c>
      <c r="J174" s="34">
        <v>41647</v>
      </c>
      <c r="K174">
        <f t="shared" si="2"/>
        <v>557459</v>
      </c>
    </row>
    <row r="175" spans="1:11" x14ac:dyDescent="0.2">
      <c r="A175" s="32" t="s">
        <v>46</v>
      </c>
      <c r="B175" s="6" t="s">
        <v>57</v>
      </c>
      <c r="C175" s="6">
        <v>1945</v>
      </c>
      <c r="D175" s="33">
        <v>250</v>
      </c>
      <c r="E175" s="2">
        <v>15</v>
      </c>
      <c r="F175" s="2">
        <v>29175</v>
      </c>
      <c r="G175" s="3" t="s">
        <v>660</v>
      </c>
      <c r="H175" s="35">
        <v>28299.75</v>
      </c>
      <c r="I175" s="2">
        <v>19450</v>
      </c>
      <c r="J175" s="34">
        <v>41284</v>
      </c>
      <c r="K175">
        <f t="shared" si="2"/>
        <v>28299.75</v>
      </c>
    </row>
    <row r="176" spans="1:11" x14ac:dyDescent="0.2">
      <c r="A176" s="32" t="s">
        <v>11</v>
      </c>
      <c r="B176" s="6" t="s">
        <v>57</v>
      </c>
      <c r="C176" s="6">
        <v>831</v>
      </c>
      <c r="D176" s="33">
        <v>3</v>
      </c>
      <c r="E176" s="2">
        <v>20</v>
      </c>
      <c r="F176" s="2">
        <v>16620</v>
      </c>
      <c r="G176" s="3" t="s">
        <v>674</v>
      </c>
      <c r="H176" s="35">
        <v>16121.4</v>
      </c>
      <c r="I176" s="2">
        <v>8310</v>
      </c>
      <c r="J176" s="34">
        <v>41644</v>
      </c>
      <c r="K176">
        <f t="shared" si="2"/>
        <v>16121.4</v>
      </c>
    </row>
    <row r="177" spans="1:11" x14ac:dyDescent="0.2">
      <c r="A177" s="32" t="s">
        <v>31</v>
      </c>
      <c r="B177" s="6" t="s">
        <v>57</v>
      </c>
      <c r="C177" s="6">
        <v>1760</v>
      </c>
      <c r="D177" s="33">
        <v>10</v>
      </c>
      <c r="E177" s="2">
        <v>7</v>
      </c>
      <c r="F177" s="2">
        <v>12320</v>
      </c>
      <c r="G177" s="3" t="s">
        <v>675</v>
      </c>
      <c r="H177" s="35">
        <v>11950.4</v>
      </c>
      <c r="I177" s="2">
        <v>8800</v>
      </c>
      <c r="J177" s="34">
        <v>41283</v>
      </c>
      <c r="K177">
        <f t="shared" si="2"/>
        <v>11950.4</v>
      </c>
    </row>
    <row r="178" spans="1:11" x14ac:dyDescent="0.2">
      <c r="A178" s="32" t="s">
        <v>77</v>
      </c>
      <c r="B178" s="6" t="s">
        <v>57</v>
      </c>
      <c r="C178" s="6">
        <v>3850.5</v>
      </c>
      <c r="D178" s="33">
        <v>120</v>
      </c>
      <c r="E178" s="2">
        <v>20</v>
      </c>
      <c r="F178" s="2">
        <v>77010</v>
      </c>
      <c r="G178" s="3" t="s">
        <v>676</v>
      </c>
      <c r="H178" s="35">
        <v>74699.7</v>
      </c>
      <c r="I178" s="2">
        <v>38505</v>
      </c>
      <c r="J178" s="34">
        <v>41643</v>
      </c>
      <c r="K178">
        <f t="shared" si="2"/>
        <v>74699.7</v>
      </c>
    </row>
    <row r="179" spans="1:11" x14ac:dyDescent="0.2">
      <c r="A179" s="32" t="s">
        <v>44</v>
      </c>
      <c r="B179" s="6" t="s">
        <v>57</v>
      </c>
      <c r="C179" s="6">
        <v>2479</v>
      </c>
      <c r="D179" s="33">
        <v>250</v>
      </c>
      <c r="E179" s="2">
        <v>12</v>
      </c>
      <c r="F179" s="2">
        <v>29748</v>
      </c>
      <c r="G179" s="3" t="s">
        <v>677</v>
      </c>
      <c r="H179" s="35">
        <v>28855.56</v>
      </c>
      <c r="I179" s="2">
        <v>7437</v>
      </c>
      <c r="J179" s="34">
        <v>41640</v>
      </c>
      <c r="K179">
        <f t="shared" si="2"/>
        <v>28855.56</v>
      </c>
    </row>
    <row r="180" spans="1:11" x14ac:dyDescent="0.2">
      <c r="A180" s="32" t="s">
        <v>21</v>
      </c>
      <c r="B180" s="6" t="s">
        <v>57</v>
      </c>
      <c r="C180" s="6">
        <v>2031</v>
      </c>
      <c r="D180" s="33">
        <v>5</v>
      </c>
      <c r="E180" s="2">
        <v>15</v>
      </c>
      <c r="F180" s="2">
        <v>30465</v>
      </c>
      <c r="G180" s="3" t="s">
        <v>678</v>
      </c>
      <c r="H180" s="35">
        <v>29246.400000000001</v>
      </c>
      <c r="I180" s="2">
        <v>20310</v>
      </c>
      <c r="J180" s="34">
        <v>41649</v>
      </c>
      <c r="K180">
        <f t="shared" si="2"/>
        <v>29246.400000000001</v>
      </c>
    </row>
    <row r="181" spans="1:11" x14ac:dyDescent="0.2">
      <c r="A181" s="32" t="s">
        <v>27</v>
      </c>
      <c r="B181" s="6" t="s">
        <v>57</v>
      </c>
      <c r="C181" s="6">
        <v>2031</v>
      </c>
      <c r="D181" s="33">
        <v>10</v>
      </c>
      <c r="E181" s="2">
        <v>15</v>
      </c>
      <c r="F181" s="2">
        <v>30465</v>
      </c>
      <c r="G181" s="3" t="s">
        <v>678</v>
      </c>
      <c r="H181" s="35">
        <v>29246.400000000001</v>
      </c>
      <c r="I181" s="2">
        <v>20310</v>
      </c>
      <c r="J181" s="34">
        <v>41649</v>
      </c>
      <c r="K181">
        <f t="shared" si="2"/>
        <v>29246.400000000001</v>
      </c>
    </row>
    <row r="182" spans="1:11" x14ac:dyDescent="0.2">
      <c r="A182" s="32" t="s">
        <v>32</v>
      </c>
      <c r="B182" s="6" t="s">
        <v>57</v>
      </c>
      <c r="C182" s="6">
        <v>2261</v>
      </c>
      <c r="D182" s="33">
        <v>10</v>
      </c>
      <c r="E182" s="2">
        <v>15</v>
      </c>
      <c r="F182" s="2">
        <v>33915</v>
      </c>
      <c r="G182" s="3" t="s">
        <v>679</v>
      </c>
      <c r="H182" s="35">
        <v>32558.400000000001</v>
      </c>
      <c r="I182" s="2">
        <v>22610</v>
      </c>
      <c r="J182" s="34">
        <v>41286</v>
      </c>
      <c r="K182">
        <f t="shared" si="2"/>
        <v>32558.400000000001</v>
      </c>
    </row>
    <row r="183" spans="1:11" x14ac:dyDescent="0.2">
      <c r="A183" s="32" t="s">
        <v>98</v>
      </c>
      <c r="B183" s="6" t="s">
        <v>57</v>
      </c>
      <c r="C183" s="6">
        <v>736</v>
      </c>
      <c r="D183" s="33">
        <v>120</v>
      </c>
      <c r="E183" s="2">
        <v>20</v>
      </c>
      <c r="F183" s="2">
        <v>14720</v>
      </c>
      <c r="G183" s="3" t="s">
        <v>680</v>
      </c>
      <c r="H183" s="35">
        <v>14131.2</v>
      </c>
      <c r="I183" s="2">
        <v>7360</v>
      </c>
      <c r="J183" s="34">
        <v>41283</v>
      </c>
      <c r="K183">
        <f t="shared" si="2"/>
        <v>14131.2</v>
      </c>
    </row>
    <row r="184" spans="1:11" x14ac:dyDescent="0.2">
      <c r="A184" s="32" t="s">
        <v>11</v>
      </c>
      <c r="B184" s="6" t="s">
        <v>57</v>
      </c>
      <c r="C184" s="6">
        <v>2851</v>
      </c>
      <c r="D184" s="33">
        <v>3</v>
      </c>
      <c r="E184" s="2">
        <v>7</v>
      </c>
      <c r="F184" s="2">
        <v>19957</v>
      </c>
      <c r="G184" s="3" t="s">
        <v>681</v>
      </c>
      <c r="H184" s="35">
        <v>19158.72</v>
      </c>
      <c r="I184" s="2">
        <v>14255</v>
      </c>
      <c r="J184" s="34">
        <v>41284</v>
      </c>
      <c r="K184">
        <f t="shared" si="2"/>
        <v>19158.72</v>
      </c>
    </row>
    <row r="185" spans="1:11" x14ac:dyDescent="0.2">
      <c r="A185" s="32" t="s">
        <v>86</v>
      </c>
      <c r="B185" s="6" t="s">
        <v>57</v>
      </c>
      <c r="C185" s="6">
        <v>2021</v>
      </c>
      <c r="D185" s="33">
        <v>3</v>
      </c>
      <c r="E185" s="2">
        <v>300</v>
      </c>
      <c r="F185" s="2" t="s">
        <v>682</v>
      </c>
      <c r="G185" s="3" t="s">
        <v>683</v>
      </c>
      <c r="H185" s="35" t="s">
        <v>684</v>
      </c>
      <c r="I185" s="2" t="s">
        <v>685</v>
      </c>
      <c r="J185" s="34">
        <v>41649</v>
      </c>
      <c r="K185">
        <f t="shared" si="2"/>
        <v>582048</v>
      </c>
    </row>
    <row r="186" spans="1:11" x14ac:dyDescent="0.2">
      <c r="A186" s="32" t="s">
        <v>61</v>
      </c>
      <c r="B186" s="6" t="s">
        <v>57</v>
      </c>
      <c r="C186" s="6">
        <v>274</v>
      </c>
      <c r="D186" s="33">
        <v>3</v>
      </c>
      <c r="E186" s="2">
        <v>350</v>
      </c>
      <c r="F186" s="2">
        <v>95900</v>
      </c>
      <c r="G186" s="3" t="s">
        <v>686</v>
      </c>
      <c r="H186" s="35">
        <v>92064</v>
      </c>
      <c r="I186" s="2">
        <v>71240</v>
      </c>
      <c r="J186" s="34">
        <v>41651</v>
      </c>
      <c r="K186">
        <f t="shared" si="2"/>
        <v>92064</v>
      </c>
    </row>
    <row r="187" spans="1:11" x14ac:dyDescent="0.2">
      <c r="A187" s="32" t="s">
        <v>116</v>
      </c>
      <c r="B187" s="6" t="s">
        <v>57</v>
      </c>
      <c r="C187" s="6">
        <v>1967</v>
      </c>
      <c r="D187" s="33">
        <v>5</v>
      </c>
      <c r="E187" s="2">
        <v>15</v>
      </c>
      <c r="F187" s="2">
        <v>29505</v>
      </c>
      <c r="G187" s="3" t="s">
        <v>687</v>
      </c>
      <c r="H187" s="35">
        <v>28324.799999999999</v>
      </c>
      <c r="I187" s="2">
        <v>19670</v>
      </c>
      <c r="J187" s="34">
        <v>41642</v>
      </c>
      <c r="K187">
        <f t="shared" si="2"/>
        <v>28324.799999999999</v>
      </c>
    </row>
    <row r="188" spans="1:11" x14ac:dyDescent="0.2">
      <c r="A188" s="32" t="s">
        <v>117</v>
      </c>
      <c r="B188" s="6" t="s">
        <v>57</v>
      </c>
      <c r="C188" s="6">
        <v>1859</v>
      </c>
      <c r="D188" s="33">
        <v>5</v>
      </c>
      <c r="E188" s="2">
        <v>300</v>
      </c>
      <c r="F188" s="2" t="s">
        <v>688</v>
      </c>
      <c r="G188" s="3" t="s">
        <v>689</v>
      </c>
      <c r="H188" s="35" t="s">
        <v>690</v>
      </c>
      <c r="I188" s="2" t="s">
        <v>691</v>
      </c>
      <c r="J188" s="34">
        <v>41647</v>
      </c>
      <c r="K188">
        <f t="shared" si="2"/>
        <v>535392</v>
      </c>
    </row>
    <row r="189" spans="1:11" x14ac:dyDescent="0.2">
      <c r="A189" s="32" t="s">
        <v>69</v>
      </c>
      <c r="B189" s="6" t="s">
        <v>57</v>
      </c>
      <c r="C189" s="6">
        <v>2851</v>
      </c>
      <c r="D189" s="33">
        <v>5</v>
      </c>
      <c r="E189" s="2">
        <v>7</v>
      </c>
      <c r="F189" s="2">
        <v>19957</v>
      </c>
      <c r="G189" s="3" t="s">
        <v>681</v>
      </c>
      <c r="H189" s="35">
        <v>19158.72</v>
      </c>
      <c r="I189" s="2">
        <v>14255</v>
      </c>
      <c r="J189" s="34">
        <v>41284</v>
      </c>
      <c r="K189">
        <f t="shared" si="2"/>
        <v>19158.72</v>
      </c>
    </row>
    <row r="190" spans="1:11" x14ac:dyDescent="0.2">
      <c r="A190" s="32" t="s">
        <v>117</v>
      </c>
      <c r="B190" s="6" t="s">
        <v>57</v>
      </c>
      <c r="C190" s="6">
        <v>2021</v>
      </c>
      <c r="D190" s="33">
        <v>5</v>
      </c>
      <c r="E190" s="2">
        <v>300</v>
      </c>
      <c r="F190" s="2" t="s">
        <v>682</v>
      </c>
      <c r="G190" s="3" t="s">
        <v>683</v>
      </c>
      <c r="H190" s="35" t="s">
        <v>684</v>
      </c>
      <c r="I190" s="2" t="s">
        <v>685</v>
      </c>
      <c r="J190" s="34">
        <v>41649</v>
      </c>
      <c r="K190">
        <f t="shared" si="2"/>
        <v>582048</v>
      </c>
    </row>
    <row r="191" spans="1:11" x14ac:dyDescent="0.2">
      <c r="A191" s="32" t="s">
        <v>90</v>
      </c>
      <c r="B191" s="6" t="s">
        <v>57</v>
      </c>
      <c r="C191" s="6">
        <v>1138</v>
      </c>
      <c r="D191" s="33">
        <v>5</v>
      </c>
      <c r="E191" s="2">
        <v>125</v>
      </c>
      <c r="F191" s="2" t="s">
        <v>692</v>
      </c>
      <c r="G191" s="3" t="s">
        <v>612</v>
      </c>
      <c r="H191" s="35" t="s">
        <v>693</v>
      </c>
      <c r="I191" s="2" t="s">
        <v>693</v>
      </c>
      <c r="J191" s="34">
        <v>41651</v>
      </c>
      <c r="K191">
        <f t="shared" si="2"/>
        <v>136560</v>
      </c>
    </row>
    <row r="192" spans="1:11" x14ac:dyDescent="0.2">
      <c r="A192" s="32" t="s">
        <v>26</v>
      </c>
      <c r="B192" s="6" t="s">
        <v>57</v>
      </c>
      <c r="C192" s="6">
        <v>4251</v>
      </c>
      <c r="D192" s="33">
        <v>10</v>
      </c>
      <c r="E192" s="2">
        <v>7</v>
      </c>
      <c r="F192" s="2">
        <v>29757</v>
      </c>
      <c r="G192" s="3" t="s">
        <v>694</v>
      </c>
      <c r="H192" s="35">
        <v>28566.720000000001</v>
      </c>
      <c r="I192" s="2">
        <v>21255</v>
      </c>
      <c r="J192" s="34">
        <v>41640</v>
      </c>
      <c r="K192">
        <f t="shared" si="2"/>
        <v>28566.720000000001</v>
      </c>
    </row>
    <row r="193" spans="1:11" x14ac:dyDescent="0.2">
      <c r="A193" s="32" t="s">
        <v>93</v>
      </c>
      <c r="B193" s="6" t="s">
        <v>57</v>
      </c>
      <c r="C193" s="6">
        <v>795</v>
      </c>
      <c r="D193" s="33">
        <v>10</v>
      </c>
      <c r="E193" s="2">
        <v>125</v>
      </c>
      <c r="F193" s="2">
        <v>99375</v>
      </c>
      <c r="G193" s="3" t="s">
        <v>695</v>
      </c>
      <c r="H193" s="35">
        <v>95400</v>
      </c>
      <c r="I193" s="2">
        <v>95400</v>
      </c>
      <c r="J193" s="34">
        <v>41642</v>
      </c>
      <c r="K193">
        <f t="shared" si="2"/>
        <v>95400</v>
      </c>
    </row>
    <row r="194" spans="1:11" x14ac:dyDescent="0.2">
      <c r="A194" s="32" t="s">
        <v>92</v>
      </c>
      <c r="B194" s="6" t="s">
        <v>57</v>
      </c>
      <c r="C194" s="6">
        <v>1414.5</v>
      </c>
      <c r="D194" s="33">
        <v>10</v>
      </c>
      <c r="E194" s="2">
        <v>300</v>
      </c>
      <c r="F194" s="2" t="s">
        <v>696</v>
      </c>
      <c r="G194" s="3" t="s">
        <v>697</v>
      </c>
      <c r="H194" s="35" t="s">
        <v>698</v>
      </c>
      <c r="I194" s="2" t="s">
        <v>699</v>
      </c>
      <c r="J194" s="34">
        <v>41643</v>
      </c>
      <c r="K194">
        <f t="shared" si="2"/>
        <v>407376</v>
      </c>
    </row>
    <row r="195" spans="1:11" x14ac:dyDescent="0.2">
      <c r="A195" s="32" t="s">
        <v>76</v>
      </c>
      <c r="B195" s="6" t="s">
        <v>57</v>
      </c>
      <c r="C195" s="6">
        <v>2918</v>
      </c>
      <c r="D195" s="33">
        <v>10</v>
      </c>
      <c r="E195" s="2">
        <v>300</v>
      </c>
      <c r="F195" s="2" t="s">
        <v>700</v>
      </c>
      <c r="G195" s="3" t="s">
        <v>701</v>
      </c>
      <c r="H195" s="35" t="s">
        <v>702</v>
      </c>
      <c r="I195" s="2" t="s">
        <v>703</v>
      </c>
      <c r="J195" s="34">
        <v>41644</v>
      </c>
      <c r="K195">
        <f t="shared" si="2"/>
        <v>840384</v>
      </c>
    </row>
    <row r="196" spans="1:11" x14ac:dyDescent="0.2">
      <c r="A196" s="32" t="s">
        <v>34</v>
      </c>
      <c r="B196" s="6" t="s">
        <v>57</v>
      </c>
      <c r="C196" s="6">
        <v>3450</v>
      </c>
      <c r="D196" s="33">
        <v>10</v>
      </c>
      <c r="E196" s="2">
        <v>350</v>
      </c>
      <c r="F196" s="2" t="s">
        <v>704</v>
      </c>
      <c r="G196" s="3" t="s">
        <v>705</v>
      </c>
      <c r="H196" s="35" t="s">
        <v>706</v>
      </c>
      <c r="I196" s="2" t="s">
        <v>707</v>
      </c>
      <c r="J196" s="34">
        <v>41646</v>
      </c>
      <c r="K196">
        <f t="shared" si="2"/>
        <v>1159200</v>
      </c>
    </row>
    <row r="197" spans="1:11" x14ac:dyDescent="0.2">
      <c r="A197" s="32" t="s">
        <v>73</v>
      </c>
      <c r="B197" s="6" t="s">
        <v>57</v>
      </c>
      <c r="C197" s="6">
        <v>2988</v>
      </c>
      <c r="D197" s="33">
        <v>10</v>
      </c>
      <c r="E197" s="2">
        <v>125</v>
      </c>
      <c r="F197" s="2" t="s">
        <v>708</v>
      </c>
      <c r="G197" s="3" t="s">
        <v>709</v>
      </c>
      <c r="H197" s="35" t="s">
        <v>710</v>
      </c>
      <c r="I197" s="2" t="s">
        <v>710</v>
      </c>
      <c r="J197" s="34">
        <v>41646</v>
      </c>
      <c r="K197">
        <f t="shared" ref="K197:K260" si="3">_xlfn.NUMBERVALUE(SUBSTITUTE(H197," $","",1))</f>
        <v>358560</v>
      </c>
    </row>
    <row r="198" spans="1:11" x14ac:dyDescent="0.2">
      <c r="A198" s="32" t="s">
        <v>36</v>
      </c>
      <c r="B198" s="6" t="s">
        <v>57</v>
      </c>
      <c r="C198" s="6">
        <v>218</v>
      </c>
      <c r="D198" s="33">
        <v>10</v>
      </c>
      <c r="E198" s="2">
        <v>15</v>
      </c>
      <c r="F198" s="2">
        <v>3270</v>
      </c>
      <c r="G198" s="3" t="s">
        <v>711</v>
      </c>
      <c r="H198" s="35">
        <v>3139.2</v>
      </c>
      <c r="I198" s="2">
        <v>2180</v>
      </c>
      <c r="J198" s="34">
        <v>41648</v>
      </c>
      <c r="K198">
        <f t="shared" si="3"/>
        <v>3139.2</v>
      </c>
    </row>
    <row r="199" spans="1:11" x14ac:dyDescent="0.2">
      <c r="A199" s="32" t="s">
        <v>26</v>
      </c>
      <c r="B199" s="6" t="s">
        <v>57</v>
      </c>
      <c r="C199" s="6">
        <v>2074</v>
      </c>
      <c r="D199" s="33">
        <v>10</v>
      </c>
      <c r="E199" s="2">
        <v>20</v>
      </c>
      <c r="F199" s="2">
        <v>41480</v>
      </c>
      <c r="G199" s="3" t="s">
        <v>712</v>
      </c>
      <c r="H199" s="35">
        <v>39820.800000000003</v>
      </c>
      <c r="I199" s="2">
        <v>20740</v>
      </c>
      <c r="J199" s="34">
        <v>41648</v>
      </c>
      <c r="K199">
        <f t="shared" si="3"/>
        <v>39820.800000000003</v>
      </c>
    </row>
    <row r="200" spans="1:11" x14ac:dyDescent="0.2">
      <c r="A200" s="32" t="s">
        <v>34</v>
      </c>
      <c r="B200" s="6" t="s">
        <v>57</v>
      </c>
      <c r="C200" s="6">
        <v>1056</v>
      </c>
      <c r="D200" s="33">
        <v>10</v>
      </c>
      <c r="E200" s="2">
        <v>20</v>
      </c>
      <c r="F200" s="2">
        <v>21120</v>
      </c>
      <c r="G200" s="3" t="s">
        <v>713</v>
      </c>
      <c r="H200" s="35">
        <v>20275.2</v>
      </c>
      <c r="I200" s="2">
        <v>10560</v>
      </c>
      <c r="J200" s="34">
        <v>41648</v>
      </c>
      <c r="K200">
        <f t="shared" si="3"/>
        <v>20275.2</v>
      </c>
    </row>
    <row r="201" spans="1:11" x14ac:dyDescent="0.2">
      <c r="A201" s="32" t="s">
        <v>71</v>
      </c>
      <c r="B201" s="6" t="s">
        <v>57</v>
      </c>
      <c r="C201" s="6">
        <v>671</v>
      </c>
      <c r="D201" s="33">
        <v>10</v>
      </c>
      <c r="E201" s="2">
        <v>15</v>
      </c>
      <c r="F201" s="2">
        <v>10065</v>
      </c>
      <c r="G201" s="3" t="s">
        <v>714</v>
      </c>
      <c r="H201" s="35">
        <v>9662.4</v>
      </c>
      <c r="I201" s="2">
        <v>6710</v>
      </c>
      <c r="J201" s="34">
        <v>41284</v>
      </c>
      <c r="K201">
        <f t="shared" si="3"/>
        <v>9662.4</v>
      </c>
    </row>
    <row r="202" spans="1:11" x14ac:dyDescent="0.2">
      <c r="A202" s="32" t="s">
        <v>27</v>
      </c>
      <c r="B202" s="6" t="s">
        <v>57</v>
      </c>
      <c r="C202" s="6">
        <v>1514</v>
      </c>
      <c r="D202" s="33">
        <v>10</v>
      </c>
      <c r="E202" s="2">
        <v>15</v>
      </c>
      <c r="F202" s="2">
        <v>22710</v>
      </c>
      <c r="G202" s="3" t="s">
        <v>715</v>
      </c>
      <c r="H202" s="35">
        <v>21801.599999999999</v>
      </c>
      <c r="I202" s="2">
        <v>15140</v>
      </c>
      <c r="J202" s="34">
        <v>41284</v>
      </c>
      <c r="K202">
        <f t="shared" si="3"/>
        <v>21801.599999999999</v>
      </c>
    </row>
    <row r="203" spans="1:11" x14ac:dyDescent="0.2">
      <c r="A203" s="32" t="s">
        <v>34</v>
      </c>
      <c r="B203" s="6" t="s">
        <v>57</v>
      </c>
      <c r="C203" s="6">
        <v>274</v>
      </c>
      <c r="D203" s="33">
        <v>10</v>
      </c>
      <c r="E203" s="2">
        <v>350</v>
      </c>
      <c r="F203" s="2">
        <v>95900</v>
      </c>
      <c r="G203" s="3" t="s">
        <v>686</v>
      </c>
      <c r="H203" s="35">
        <v>92064</v>
      </c>
      <c r="I203" s="2">
        <v>71240</v>
      </c>
      <c r="J203" s="34">
        <v>41651</v>
      </c>
      <c r="K203">
        <f t="shared" si="3"/>
        <v>92064</v>
      </c>
    </row>
    <row r="204" spans="1:11" x14ac:dyDescent="0.2">
      <c r="A204" s="32" t="s">
        <v>74</v>
      </c>
      <c r="B204" s="6" t="s">
        <v>57</v>
      </c>
      <c r="C204" s="6">
        <v>1138</v>
      </c>
      <c r="D204" s="33">
        <v>10</v>
      </c>
      <c r="E204" s="2">
        <v>125</v>
      </c>
      <c r="F204" s="2" t="s">
        <v>692</v>
      </c>
      <c r="G204" s="3" t="s">
        <v>612</v>
      </c>
      <c r="H204" s="35" t="s">
        <v>693</v>
      </c>
      <c r="I204" s="2" t="s">
        <v>693</v>
      </c>
      <c r="J204" s="34">
        <v>41651</v>
      </c>
      <c r="K204">
        <f t="shared" si="3"/>
        <v>136560</v>
      </c>
    </row>
    <row r="205" spans="1:11" x14ac:dyDescent="0.2">
      <c r="A205" s="32" t="s">
        <v>118</v>
      </c>
      <c r="B205" s="6" t="s">
        <v>57</v>
      </c>
      <c r="C205" s="6">
        <v>1465</v>
      </c>
      <c r="D205" s="33">
        <v>120</v>
      </c>
      <c r="E205" s="2">
        <v>12</v>
      </c>
      <c r="F205" s="2">
        <v>17580</v>
      </c>
      <c r="G205" s="3" t="s">
        <v>716</v>
      </c>
      <c r="H205" s="35">
        <v>16876.8</v>
      </c>
      <c r="I205" s="2">
        <v>4395</v>
      </c>
      <c r="J205" s="34">
        <v>41642</v>
      </c>
      <c r="K205">
        <f t="shared" si="3"/>
        <v>16876.8</v>
      </c>
    </row>
    <row r="206" spans="1:11" x14ac:dyDescent="0.2">
      <c r="A206" s="32" t="s">
        <v>77</v>
      </c>
      <c r="B206" s="6" t="s">
        <v>57</v>
      </c>
      <c r="C206" s="6">
        <v>2646</v>
      </c>
      <c r="D206" s="33">
        <v>120</v>
      </c>
      <c r="E206" s="2">
        <v>20</v>
      </c>
      <c r="F206" s="2">
        <v>52920</v>
      </c>
      <c r="G206" s="3" t="s">
        <v>717</v>
      </c>
      <c r="H206" s="35">
        <v>50803.199999999997</v>
      </c>
      <c r="I206" s="2">
        <v>26460</v>
      </c>
      <c r="J206" s="34">
        <v>41283</v>
      </c>
      <c r="K206">
        <f t="shared" si="3"/>
        <v>50803.199999999997</v>
      </c>
    </row>
    <row r="207" spans="1:11" x14ac:dyDescent="0.2">
      <c r="A207" s="32" t="s">
        <v>58</v>
      </c>
      <c r="B207" s="6" t="s">
        <v>57</v>
      </c>
      <c r="C207" s="6">
        <v>2177</v>
      </c>
      <c r="D207" s="33">
        <v>120</v>
      </c>
      <c r="E207" s="2">
        <v>350</v>
      </c>
      <c r="F207" s="2" t="s">
        <v>718</v>
      </c>
      <c r="G207" s="3" t="s">
        <v>719</v>
      </c>
      <c r="H207" s="35" t="s">
        <v>720</v>
      </c>
      <c r="I207" s="2" t="s">
        <v>721</v>
      </c>
      <c r="J207" s="34">
        <v>41649</v>
      </c>
      <c r="K207">
        <f t="shared" si="3"/>
        <v>731472</v>
      </c>
    </row>
    <row r="208" spans="1:11" x14ac:dyDescent="0.2">
      <c r="A208" s="32" t="s">
        <v>119</v>
      </c>
      <c r="B208" s="6" t="s">
        <v>57</v>
      </c>
      <c r="C208" s="6">
        <v>866</v>
      </c>
      <c r="D208" s="33">
        <v>250</v>
      </c>
      <c r="E208" s="2">
        <v>12</v>
      </c>
      <c r="F208" s="2">
        <v>10392</v>
      </c>
      <c r="G208" s="3" t="s">
        <v>722</v>
      </c>
      <c r="H208" s="35">
        <v>9976.32</v>
      </c>
      <c r="I208" s="2">
        <v>2598</v>
      </c>
      <c r="J208" s="34">
        <v>41644</v>
      </c>
      <c r="K208">
        <f t="shared" si="3"/>
        <v>9976.32</v>
      </c>
    </row>
    <row r="209" spans="1:11" x14ac:dyDescent="0.2">
      <c r="A209" s="32" t="s">
        <v>105</v>
      </c>
      <c r="B209" s="6" t="s">
        <v>57</v>
      </c>
      <c r="C209" s="6">
        <v>349</v>
      </c>
      <c r="D209" s="33">
        <v>250</v>
      </c>
      <c r="E209" s="2">
        <v>350</v>
      </c>
      <c r="F209" s="2" t="s">
        <v>723</v>
      </c>
      <c r="G209" s="3" t="s">
        <v>724</v>
      </c>
      <c r="H209" s="35" t="s">
        <v>725</v>
      </c>
      <c r="I209" s="2">
        <v>90740</v>
      </c>
      <c r="J209" s="34">
        <v>41283</v>
      </c>
      <c r="K209">
        <f t="shared" si="3"/>
        <v>117264</v>
      </c>
    </row>
    <row r="210" spans="1:11" x14ac:dyDescent="0.2">
      <c r="A210" s="32" t="s">
        <v>47</v>
      </c>
      <c r="B210" s="6" t="s">
        <v>57</v>
      </c>
      <c r="C210" s="6">
        <v>2177</v>
      </c>
      <c r="D210" s="33">
        <v>250</v>
      </c>
      <c r="E210" s="2">
        <v>350</v>
      </c>
      <c r="F210" s="2" t="s">
        <v>718</v>
      </c>
      <c r="G210" s="3" t="s">
        <v>719</v>
      </c>
      <c r="H210" s="35" t="s">
        <v>720</v>
      </c>
      <c r="I210" s="2" t="s">
        <v>721</v>
      </c>
      <c r="J210" s="34">
        <v>41649</v>
      </c>
      <c r="K210">
        <f t="shared" si="3"/>
        <v>731472</v>
      </c>
    </row>
    <row r="211" spans="1:11" x14ac:dyDescent="0.2">
      <c r="A211" s="32" t="s">
        <v>120</v>
      </c>
      <c r="B211" s="6" t="s">
        <v>57</v>
      </c>
      <c r="C211" s="6">
        <v>1514</v>
      </c>
      <c r="D211" s="33">
        <v>250</v>
      </c>
      <c r="E211" s="2">
        <v>15</v>
      </c>
      <c r="F211" s="2">
        <v>22710</v>
      </c>
      <c r="G211" s="3" t="s">
        <v>715</v>
      </c>
      <c r="H211" s="35">
        <v>21801.599999999999</v>
      </c>
      <c r="I211" s="2">
        <v>15140</v>
      </c>
      <c r="J211" s="34">
        <v>41284</v>
      </c>
      <c r="K211">
        <f t="shared" si="3"/>
        <v>21801.599999999999</v>
      </c>
    </row>
    <row r="212" spans="1:11" x14ac:dyDescent="0.2">
      <c r="A212" s="32" t="s">
        <v>121</v>
      </c>
      <c r="B212" s="6" t="s">
        <v>57</v>
      </c>
      <c r="C212" s="6">
        <v>1865</v>
      </c>
      <c r="D212" s="33">
        <v>260</v>
      </c>
      <c r="E212" s="2">
        <v>350</v>
      </c>
      <c r="F212" s="2" t="s">
        <v>726</v>
      </c>
      <c r="G212" s="3" t="s">
        <v>727</v>
      </c>
      <c r="H212" s="35" t="s">
        <v>728</v>
      </c>
      <c r="I212" s="2" t="s">
        <v>729</v>
      </c>
      <c r="J212" s="34">
        <v>41641</v>
      </c>
      <c r="K212">
        <f t="shared" si="3"/>
        <v>626640</v>
      </c>
    </row>
    <row r="213" spans="1:11" x14ac:dyDescent="0.2">
      <c r="A213" s="32" t="s">
        <v>122</v>
      </c>
      <c r="B213" s="6" t="s">
        <v>57</v>
      </c>
      <c r="C213" s="6">
        <v>1074</v>
      </c>
      <c r="D213" s="33">
        <v>260</v>
      </c>
      <c r="E213" s="2">
        <v>125</v>
      </c>
      <c r="F213" s="2" t="s">
        <v>730</v>
      </c>
      <c r="G213" s="3" t="s">
        <v>731</v>
      </c>
      <c r="H213" s="35" t="s">
        <v>732</v>
      </c>
      <c r="I213" s="2" t="s">
        <v>732</v>
      </c>
      <c r="J213" s="34">
        <v>41643</v>
      </c>
      <c r="K213">
        <f t="shared" si="3"/>
        <v>128880</v>
      </c>
    </row>
    <row r="214" spans="1:11" x14ac:dyDescent="0.2">
      <c r="A214" s="32" t="s">
        <v>53</v>
      </c>
      <c r="B214" s="6" t="s">
        <v>57</v>
      </c>
      <c r="C214" s="6">
        <v>1907</v>
      </c>
      <c r="D214" s="33">
        <v>260</v>
      </c>
      <c r="E214" s="2">
        <v>350</v>
      </c>
      <c r="F214" s="2" t="s">
        <v>733</v>
      </c>
      <c r="G214" s="3" t="s">
        <v>734</v>
      </c>
      <c r="H214" s="35" t="s">
        <v>735</v>
      </c>
      <c r="I214" s="2" t="s">
        <v>736</v>
      </c>
      <c r="J214" s="34">
        <v>41648</v>
      </c>
      <c r="K214">
        <f t="shared" si="3"/>
        <v>640752</v>
      </c>
    </row>
    <row r="215" spans="1:11" x14ac:dyDescent="0.2">
      <c r="A215" s="32" t="s">
        <v>55</v>
      </c>
      <c r="B215" s="6" t="s">
        <v>57</v>
      </c>
      <c r="C215" s="6">
        <v>671</v>
      </c>
      <c r="D215" s="33">
        <v>260</v>
      </c>
      <c r="E215" s="2">
        <v>15</v>
      </c>
      <c r="F215" s="2">
        <v>10065</v>
      </c>
      <c r="G215" s="3" t="s">
        <v>714</v>
      </c>
      <c r="H215" s="35">
        <v>9662.4</v>
      </c>
      <c r="I215" s="2">
        <v>6710</v>
      </c>
      <c r="J215" s="34">
        <v>41284</v>
      </c>
      <c r="K215">
        <f t="shared" si="3"/>
        <v>9662.4</v>
      </c>
    </row>
    <row r="216" spans="1:11" x14ac:dyDescent="0.2">
      <c r="A216" s="32" t="s">
        <v>123</v>
      </c>
      <c r="B216" s="6" t="s">
        <v>57</v>
      </c>
      <c r="C216" s="6">
        <v>1778</v>
      </c>
      <c r="D216" s="33">
        <v>260</v>
      </c>
      <c r="E216" s="2">
        <v>350</v>
      </c>
      <c r="F216" s="2" t="s">
        <v>737</v>
      </c>
      <c r="G216" s="3" t="s">
        <v>738</v>
      </c>
      <c r="H216" s="35" t="s">
        <v>739</v>
      </c>
      <c r="I216" s="2" t="s">
        <v>740</v>
      </c>
      <c r="J216" s="34">
        <v>41286</v>
      </c>
      <c r="K216">
        <f t="shared" si="3"/>
        <v>597408</v>
      </c>
    </row>
    <row r="217" spans="1:11" x14ac:dyDescent="0.2">
      <c r="A217" s="32" t="s">
        <v>24</v>
      </c>
      <c r="B217" s="6" t="s">
        <v>124</v>
      </c>
      <c r="C217" s="6">
        <v>1159</v>
      </c>
      <c r="D217" s="33">
        <v>5</v>
      </c>
      <c r="E217" s="2">
        <v>7</v>
      </c>
      <c r="F217" s="2">
        <v>8113</v>
      </c>
      <c r="G217" s="3" t="s">
        <v>741</v>
      </c>
      <c r="H217" s="35">
        <v>7707.35</v>
      </c>
      <c r="I217" s="2">
        <v>5795</v>
      </c>
      <c r="J217" s="34">
        <v>41284</v>
      </c>
      <c r="K217">
        <f t="shared" si="3"/>
        <v>7707.35</v>
      </c>
    </row>
    <row r="218" spans="1:11" x14ac:dyDescent="0.2">
      <c r="A218" s="32" t="s">
        <v>29</v>
      </c>
      <c r="B218" s="6" t="s">
        <v>124</v>
      </c>
      <c r="C218" s="6">
        <v>1372</v>
      </c>
      <c r="D218" s="33">
        <v>10</v>
      </c>
      <c r="E218" s="2">
        <v>7</v>
      </c>
      <c r="F218" s="2">
        <v>9604</v>
      </c>
      <c r="G218" s="3" t="s">
        <v>742</v>
      </c>
      <c r="H218" s="35">
        <v>9123.7999999999993</v>
      </c>
      <c r="I218" s="2">
        <v>6860</v>
      </c>
      <c r="J218" s="34">
        <v>41640</v>
      </c>
      <c r="K218">
        <f t="shared" si="3"/>
        <v>9123.7999999999993</v>
      </c>
    </row>
    <row r="219" spans="1:11" x14ac:dyDescent="0.2">
      <c r="A219" s="32" t="s">
        <v>26</v>
      </c>
      <c r="B219" s="6" t="s">
        <v>124</v>
      </c>
      <c r="C219" s="6">
        <v>2349</v>
      </c>
      <c r="D219" s="33">
        <v>10</v>
      </c>
      <c r="E219" s="2">
        <v>7</v>
      </c>
      <c r="F219" s="2">
        <v>16443</v>
      </c>
      <c r="G219" s="3" t="s">
        <v>743</v>
      </c>
      <c r="H219" s="35">
        <v>15620.85</v>
      </c>
      <c r="I219" s="2">
        <v>11745</v>
      </c>
      <c r="J219" s="34">
        <v>41283</v>
      </c>
      <c r="K219">
        <f t="shared" si="3"/>
        <v>15620.85</v>
      </c>
    </row>
    <row r="220" spans="1:11" x14ac:dyDescent="0.2">
      <c r="A220" s="32" t="s">
        <v>31</v>
      </c>
      <c r="B220" s="6" t="s">
        <v>124</v>
      </c>
      <c r="C220" s="6">
        <v>2689</v>
      </c>
      <c r="D220" s="33">
        <v>10</v>
      </c>
      <c r="E220" s="2">
        <v>7</v>
      </c>
      <c r="F220" s="2">
        <v>18823</v>
      </c>
      <c r="G220" s="3" t="s">
        <v>744</v>
      </c>
      <c r="H220" s="35">
        <v>17881.849999999999</v>
      </c>
      <c r="I220" s="2">
        <v>13445</v>
      </c>
      <c r="J220" s="34">
        <v>41649</v>
      </c>
      <c r="K220">
        <f t="shared" si="3"/>
        <v>17881.849999999999</v>
      </c>
    </row>
    <row r="221" spans="1:11" x14ac:dyDescent="0.2">
      <c r="A221" s="32" t="s">
        <v>28</v>
      </c>
      <c r="B221" s="6" t="s">
        <v>124</v>
      </c>
      <c r="C221" s="6">
        <v>2431</v>
      </c>
      <c r="D221" s="33">
        <v>10</v>
      </c>
      <c r="E221" s="2">
        <v>12</v>
      </c>
      <c r="F221" s="2">
        <v>29172</v>
      </c>
      <c r="G221" s="3" t="s">
        <v>745</v>
      </c>
      <c r="H221" s="35">
        <v>27713.4</v>
      </c>
      <c r="I221" s="2">
        <v>7293</v>
      </c>
      <c r="J221" s="34">
        <v>41651</v>
      </c>
      <c r="K221">
        <f t="shared" si="3"/>
        <v>27713.4</v>
      </c>
    </row>
    <row r="222" spans="1:11" x14ac:dyDescent="0.2">
      <c r="A222" s="32" t="s">
        <v>125</v>
      </c>
      <c r="B222" s="6" t="s">
        <v>124</v>
      </c>
      <c r="C222" s="6">
        <v>2431</v>
      </c>
      <c r="D222" s="33">
        <v>120</v>
      </c>
      <c r="E222" s="2">
        <v>12</v>
      </c>
      <c r="F222" s="2">
        <v>29172</v>
      </c>
      <c r="G222" s="3" t="s">
        <v>745</v>
      </c>
      <c r="H222" s="35">
        <v>27713.4</v>
      </c>
      <c r="I222" s="2">
        <v>7293</v>
      </c>
      <c r="J222" s="34">
        <v>41651</v>
      </c>
      <c r="K222">
        <f t="shared" si="3"/>
        <v>27713.4</v>
      </c>
    </row>
    <row r="223" spans="1:11" x14ac:dyDescent="0.2">
      <c r="A223" s="32" t="s">
        <v>83</v>
      </c>
      <c r="B223" s="6" t="s">
        <v>124</v>
      </c>
      <c r="C223" s="6">
        <v>2689</v>
      </c>
      <c r="D223" s="33">
        <v>250</v>
      </c>
      <c r="E223" s="2">
        <v>7</v>
      </c>
      <c r="F223" s="2">
        <v>18823</v>
      </c>
      <c r="G223" s="3" t="s">
        <v>744</v>
      </c>
      <c r="H223" s="35">
        <v>17881.849999999999</v>
      </c>
      <c r="I223" s="2">
        <v>13445</v>
      </c>
      <c r="J223" s="34">
        <v>41649</v>
      </c>
      <c r="K223">
        <f t="shared" si="3"/>
        <v>17881.849999999999</v>
      </c>
    </row>
    <row r="224" spans="1:11" x14ac:dyDescent="0.2">
      <c r="A224" s="32" t="s">
        <v>121</v>
      </c>
      <c r="B224" s="6" t="s">
        <v>124</v>
      </c>
      <c r="C224" s="6">
        <v>1683</v>
      </c>
      <c r="D224" s="33">
        <v>260</v>
      </c>
      <c r="E224" s="2">
        <v>7</v>
      </c>
      <c r="F224" s="2">
        <v>11781</v>
      </c>
      <c r="G224" s="3" t="s">
        <v>746</v>
      </c>
      <c r="H224" s="35">
        <v>11191.95</v>
      </c>
      <c r="I224" s="2">
        <v>8415</v>
      </c>
      <c r="J224" s="34">
        <v>41646</v>
      </c>
      <c r="K224">
        <f t="shared" si="3"/>
        <v>11191.95</v>
      </c>
    </row>
    <row r="225" spans="1:11" x14ac:dyDescent="0.2">
      <c r="A225" s="32" t="s">
        <v>126</v>
      </c>
      <c r="B225" s="6" t="s">
        <v>124</v>
      </c>
      <c r="C225" s="6">
        <v>1123</v>
      </c>
      <c r="D225" s="33">
        <v>260</v>
      </c>
      <c r="E225" s="2">
        <v>12</v>
      </c>
      <c r="F225" s="2">
        <v>13476</v>
      </c>
      <c r="G225" s="3" t="s">
        <v>747</v>
      </c>
      <c r="H225" s="35">
        <v>12802.2</v>
      </c>
      <c r="I225" s="2">
        <v>3369</v>
      </c>
      <c r="J225" s="34">
        <v>41647</v>
      </c>
      <c r="K225">
        <f t="shared" si="3"/>
        <v>12802.2</v>
      </c>
    </row>
    <row r="226" spans="1:11" x14ac:dyDescent="0.2">
      <c r="A226" s="32" t="s">
        <v>53</v>
      </c>
      <c r="B226" s="6" t="s">
        <v>124</v>
      </c>
      <c r="C226" s="6">
        <v>1159</v>
      </c>
      <c r="D226" s="33">
        <v>260</v>
      </c>
      <c r="E226" s="2">
        <v>7</v>
      </c>
      <c r="F226" s="2">
        <v>8113</v>
      </c>
      <c r="G226" s="3" t="s">
        <v>741</v>
      </c>
      <c r="H226" s="35">
        <v>7707.35</v>
      </c>
      <c r="I226" s="2">
        <v>5795</v>
      </c>
      <c r="J226" s="34">
        <v>41284</v>
      </c>
      <c r="K226">
        <f t="shared" si="3"/>
        <v>7707.35</v>
      </c>
    </row>
    <row r="227" spans="1:11" x14ac:dyDescent="0.2">
      <c r="A227" s="32" t="s">
        <v>64</v>
      </c>
      <c r="B227" s="6" t="s">
        <v>124</v>
      </c>
      <c r="C227" s="6">
        <v>1865</v>
      </c>
      <c r="D227" s="33">
        <v>3</v>
      </c>
      <c r="E227" s="2">
        <v>12</v>
      </c>
      <c r="F227" s="2">
        <v>22380</v>
      </c>
      <c r="G227" s="3" t="s">
        <v>748</v>
      </c>
      <c r="H227" s="35">
        <v>21261</v>
      </c>
      <c r="I227" s="2">
        <v>5595</v>
      </c>
      <c r="J227" s="34">
        <v>41641</v>
      </c>
      <c r="K227">
        <f t="shared" si="3"/>
        <v>21261</v>
      </c>
    </row>
    <row r="228" spans="1:11" x14ac:dyDescent="0.2">
      <c r="A228" s="32" t="s">
        <v>65</v>
      </c>
      <c r="B228" s="6" t="s">
        <v>124</v>
      </c>
      <c r="C228" s="6">
        <v>1116</v>
      </c>
      <c r="D228" s="33">
        <v>3</v>
      </c>
      <c r="E228" s="2">
        <v>12</v>
      </c>
      <c r="F228" s="2">
        <v>13392</v>
      </c>
      <c r="G228" s="3" t="s">
        <v>749</v>
      </c>
      <c r="H228" s="35">
        <v>12722.4</v>
      </c>
      <c r="I228" s="2">
        <v>3348</v>
      </c>
      <c r="J228" s="34">
        <v>41641</v>
      </c>
      <c r="K228">
        <f t="shared" si="3"/>
        <v>12722.4</v>
      </c>
    </row>
    <row r="229" spans="1:11" x14ac:dyDescent="0.2">
      <c r="A229" s="32" t="s">
        <v>67</v>
      </c>
      <c r="B229" s="6" t="s">
        <v>124</v>
      </c>
      <c r="C229" s="6">
        <v>1563</v>
      </c>
      <c r="D229" s="33">
        <v>3</v>
      </c>
      <c r="E229" s="2">
        <v>20</v>
      </c>
      <c r="F229" s="2">
        <v>31260</v>
      </c>
      <c r="G229" s="3" t="s">
        <v>750</v>
      </c>
      <c r="H229" s="35">
        <v>29697</v>
      </c>
      <c r="I229" s="2">
        <v>15630</v>
      </c>
      <c r="J229" s="34">
        <v>41644</v>
      </c>
      <c r="K229">
        <f t="shared" si="3"/>
        <v>29697</v>
      </c>
    </row>
    <row r="230" spans="1:11" x14ac:dyDescent="0.2">
      <c r="A230" s="32" t="s">
        <v>127</v>
      </c>
      <c r="B230" s="6" t="s">
        <v>124</v>
      </c>
      <c r="C230" s="6">
        <v>991</v>
      </c>
      <c r="D230" s="33">
        <v>3</v>
      </c>
      <c r="E230" s="2">
        <v>300</v>
      </c>
      <c r="F230" s="2" t="s">
        <v>751</v>
      </c>
      <c r="G230" s="3" t="s">
        <v>752</v>
      </c>
      <c r="H230" s="35" t="s">
        <v>753</v>
      </c>
      <c r="I230" s="2" t="s">
        <v>754</v>
      </c>
      <c r="J230" s="34">
        <v>41645</v>
      </c>
      <c r="K230">
        <f t="shared" si="3"/>
        <v>282435</v>
      </c>
    </row>
    <row r="231" spans="1:11" x14ac:dyDescent="0.2">
      <c r="A231" s="32" t="s">
        <v>13</v>
      </c>
      <c r="B231" s="6" t="s">
        <v>124</v>
      </c>
      <c r="C231" s="6">
        <v>1016</v>
      </c>
      <c r="D231" s="33">
        <v>3</v>
      </c>
      <c r="E231" s="2">
        <v>7</v>
      </c>
      <c r="F231" s="2">
        <v>7112</v>
      </c>
      <c r="G231" s="3" t="s">
        <v>755</v>
      </c>
      <c r="H231" s="35">
        <v>6756.4</v>
      </c>
      <c r="I231" s="2">
        <v>5080</v>
      </c>
      <c r="J231" s="34">
        <v>41285</v>
      </c>
      <c r="K231">
        <f t="shared" si="3"/>
        <v>6756.4</v>
      </c>
    </row>
    <row r="232" spans="1:11" x14ac:dyDescent="0.2">
      <c r="A232" s="32" t="s">
        <v>16</v>
      </c>
      <c r="B232" s="6" t="s">
        <v>124</v>
      </c>
      <c r="C232" s="6">
        <v>2791</v>
      </c>
      <c r="D232" s="33">
        <v>3</v>
      </c>
      <c r="E232" s="2">
        <v>15</v>
      </c>
      <c r="F232" s="2">
        <v>41865</v>
      </c>
      <c r="G232" s="3" t="s">
        <v>756</v>
      </c>
      <c r="H232" s="35">
        <v>39771.75</v>
      </c>
      <c r="I232" s="2">
        <v>27910</v>
      </c>
      <c r="J232" s="34">
        <v>41650</v>
      </c>
      <c r="K232">
        <f t="shared" si="3"/>
        <v>39771.75</v>
      </c>
    </row>
    <row r="233" spans="1:11" x14ac:dyDescent="0.2">
      <c r="A233" s="32" t="s">
        <v>61</v>
      </c>
      <c r="B233" s="6" t="s">
        <v>124</v>
      </c>
      <c r="C233" s="6">
        <v>570</v>
      </c>
      <c r="D233" s="33">
        <v>3</v>
      </c>
      <c r="E233" s="2">
        <v>7</v>
      </c>
      <c r="F233" s="2">
        <v>3990</v>
      </c>
      <c r="G233" s="3" t="s">
        <v>757</v>
      </c>
      <c r="H233" s="35">
        <v>3790.5</v>
      </c>
      <c r="I233" s="2">
        <v>2850</v>
      </c>
      <c r="J233" s="34">
        <v>41651</v>
      </c>
      <c r="K233">
        <f t="shared" si="3"/>
        <v>3790.5</v>
      </c>
    </row>
    <row r="234" spans="1:11" x14ac:dyDescent="0.2">
      <c r="A234" s="32" t="s">
        <v>67</v>
      </c>
      <c r="B234" s="6" t="s">
        <v>124</v>
      </c>
      <c r="C234" s="6">
        <v>2487</v>
      </c>
      <c r="D234" s="33">
        <v>3</v>
      </c>
      <c r="E234" s="2">
        <v>7</v>
      </c>
      <c r="F234" s="2">
        <v>17409</v>
      </c>
      <c r="G234" s="3" t="s">
        <v>758</v>
      </c>
      <c r="H234" s="35">
        <v>16538.55</v>
      </c>
      <c r="I234" s="2">
        <v>12435</v>
      </c>
      <c r="J234" s="34">
        <v>41651</v>
      </c>
      <c r="K234">
        <f t="shared" si="3"/>
        <v>16538.55</v>
      </c>
    </row>
    <row r="235" spans="1:11" x14ac:dyDescent="0.2">
      <c r="A235" s="32" t="s">
        <v>19</v>
      </c>
      <c r="B235" s="6" t="s">
        <v>124</v>
      </c>
      <c r="C235" s="6">
        <v>1384.5</v>
      </c>
      <c r="D235" s="33">
        <v>5</v>
      </c>
      <c r="E235" s="2">
        <v>350</v>
      </c>
      <c r="F235" s="2" t="s">
        <v>759</v>
      </c>
      <c r="G235" s="3" t="s">
        <v>760</v>
      </c>
      <c r="H235" s="35" t="s">
        <v>761</v>
      </c>
      <c r="I235" s="2" t="s">
        <v>762</v>
      </c>
      <c r="J235" s="34">
        <v>41640</v>
      </c>
      <c r="K235">
        <f t="shared" si="3"/>
        <v>460346.25</v>
      </c>
    </row>
    <row r="236" spans="1:11" x14ac:dyDescent="0.2">
      <c r="A236" s="32" t="s">
        <v>70</v>
      </c>
      <c r="B236" s="6" t="s">
        <v>124</v>
      </c>
      <c r="C236" s="6">
        <v>3627</v>
      </c>
      <c r="D236" s="33">
        <v>5</v>
      </c>
      <c r="E236" s="2">
        <v>125</v>
      </c>
      <c r="F236" s="2" t="s">
        <v>763</v>
      </c>
      <c r="G236" s="3" t="s">
        <v>764</v>
      </c>
      <c r="H236" s="35" t="s">
        <v>765</v>
      </c>
      <c r="I236" s="2" t="s">
        <v>766</v>
      </c>
      <c r="J236" s="34">
        <v>41646</v>
      </c>
      <c r="K236">
        <f t="shared" si="3"/>
        <v>430706.25</v>
      </c>
    </row>
    <row r="237" spans="1:11" x14ac:dyDescent="0.2">
      <c r="A237" s="32" t="s">
        <v>128</v>
      </c>
      <c r="B237" s="6" t="s">
        <v>124</v>
      </c>
      <c r="C237" s="6">
        <v>720</v>
      </c>
      <c r="D237" s="33">
        <v>5</v>
      </c>
      <c r="E237" s="2">
        <v>350</v>
      </c>
      <c r="F237" s="2" t="s">
        <v>767</v>
      </c>
      <c r="G237" s="3" t="s">
        <v>768</v>
      </c>
      <c r="H237" s="35" t="s">
        <v>769</v>
      </c>
      <c r="I237" s="2" t="s">
        <v>770</v>
      </c>
      <c r="J237" s="34">
        <v>41283</v>
      </c>
      <c r="K237">
        <f t="shared" si="3"/>
        <v>239400</v>
      </c>
    </row>
    <row r="238" spans="1:11" x14ac:dyDescent="0.2">
      <c r="A238" s="32" t="s">
        <v>20</v>
      </c>
      <c r="B238" s="6" t="s">
        <v>124</v>
      </c>
      <c r="C238" s="6">
        <v>2342</v>
      </c>
      <c r="D238" s="33">
        <v>5</v>
      </c>
      <c r="E238" s="2">
        <v>12</v>
      </c>
      <c r="F238" s="2">
        <v>28104</v>
      </c>
      <c r="G238" s="3" t="s">
        <v>771</v>
      </c>
      <c r="H238" s="35">
        <v>26698.799999999999</v>
      </c>
      <c r="I238" s="2">
        <v>7026</v>
      </c>
      <c r="J238" s="34">
        <v>41650</v>
      </c>
      <c r="K238">
        <f t="shared" si="3"/>
        <v>26698.799999999999</v>
      </c>
    </row>
    <row r="239" spans="1:11" x14ac:dyDescent="0.2">
      <c r="A239" s="32" t="s">
        <v>23</v>
      </c>
      <c r="B239" s="6" t="s">
        <v>124</v>
      </c>
      <c r="C239" s="6">
        <v>1100</v>
      </c>
      <c r="D239" s="33">
        <v>5</v>
      </c>
      <c r="E239" s="2">
        <v>300</v>
      </c>
      <c r="F239" s="2" t="s">
        <v>772</v>
      </c>
      <c r="G239" s="3" t="s">
        <v>773</v>
      </c>
      <c r="H239" s="35" t="s">
        <v>774</v>
      </c>
      <c r="I239" s="2" t="s">
        <v>775</v>
      </c>
      <c r="J239" s="34">
        <v>41286</v>
      </c>
      <c r="K239">
        <f t="shared" si="3"/>
        <v>313500</v>
      </c>
    </row>
    <row r="240" spans="1:11" x14ac:dyDescent="0.2">
      <c r="A240" s="32" t="s">
        <v>56</v>
      </c>
      <c r="B240" s="6" t="s">
        <v>124</v>
      </c>
      <c r="C240" s="6">
        <v>1303</v>
      </c>
      <c r="D240" s="33">
        <v>10</v>
      </c>
      <c r="E240" s="2">
        <v>20</v>
      </c>
      <c r="F240" s="2">
        <v>26060</v>
      </c>
      <c r="G240" s="3" t="s">
        <v>776</v>
      </c>
      <c r="H240" s="35">
        <v>24757</v>
      </c>
      <c r="I240" s="2">
        <v>13030</v>
      </c>
      <c r="J240" s="34">
        <v>41641</v>
      </c>
      <c r="K240">
        <f t="shared" si="3"/>
        <v>24757</v>
      </c>
    </row>
    <row r="241" spans="1:11" x14ac:dyDescent="0.2">
      <c r="A241" s="32" t="s">
        <v>72</v>
      </c>
      <c r="B241" s="6" t="s">
        <v>124</v>
      </c>
      <c r="C241" s="6">
        <v>2992</v>
      </c>
      <c r="D241" s="33">
        <v>10</v>
      </c>
      <c r="E241" s="2">
        <v>125</v>
      </c>
      <c r="F241" s="2" t="s">
        <v>777</v>
      </c>
      <c r="G241" s="3" t="s">
        <v>778</v>
      </c>
      <c r="H241" s="35" t="s">
        <v>779</v>
      </c>
      <c r="I241" s="2" t="s">
        <v>780</v>
      </c>
      <c r="J241" s="34">
        <v>41642</v>
      </c>
      <c r="K241">
        <f t="shared" si="3"/>
        <v>355300</v>
      </c>
    </row>
    <row r="242" spans="1:11" x14ac:dyDescent="0.2">
      <c r="A242" s="32" t="s">
        <v>73</v>
      </c>
      <c r="B242" s="6" t="s">
        <v>124</v>
      </c>
      <c r="C242" s="6">
        <v>2385</v>
      </c>
      <c r="D242" s="33">
        <v>10</v>
      </c>
      <c r="E242" s="2">
        <v>125</v>
      </c>
      <c r="F242" s="2" t="s">
        <v>781</v>
      </c>
      <c r="G242" s="3" t="s">
        <v>782</v>
      </c>
      <c r="H242" s="35" t="s">
        <v>783</v>
      </c>
      <c r="I242" s="2" t="s">
        <v>784</v>
      </c>
      <c r="J242" s="34">
        <v>41642</v>
      </c>
      <c r="K242">
        <f t="shared" si="3"/>
        <v>283218.75</v>
      </c>
    </row>
    <row r="243" spans="1:11" x14ac:dyDescent="0.2">
      <c r="A243" s="32" t="s">
        <v>33</v>
      </c>
      <c r="B243" s="6" t="s">
        <v>124</v>
      </c>
      <c r="C243" s="6">
        <v>1607</v>
      </c>
      <c r="D243" s="33">
        <v>10</v>
      </c>
      <c r="E243" s="2">
        <v>300</v>
      </c>
      <c r="F243" s="2" t="s">
        <v>785</v>
      </c>
      <c r="G243" s="3" t="s">
        <v>786</v>
      </c>
      <c r="H243" s="35" t="s">
        <v>787</v>
      </c>
      <c r="I243" s="2" t="s">
        <v>788</v>
      </c>
      <c r="J243" s="34">
        <v>41643</v>
      </c>
      <c r="K243">
        <f t="shared" si="3"/>
        <v>457995</v>
      </c>
    </row>
    <row r="244" spans="1:11" x14ac:dyDescent="0.2">
      <c r="A244" s="32" t="s">
        <v>34</v>
      </c>
      <c r="B244" s="6" t="s">
        <v>124</v>
      </c>
      <c r="C244" s="6">
        <v>2327</v>
      </c>
      <c r="D244" s="33">
        <v>10</v>
      </c>
      <c r="E244" s="2">
        <v>7</v>
      </c>
      <c r="F244" s="2">
        <v>16289</v>
      </c>
      <c r="G244" s="3" t="s">
        <v>789</v>
      </c>
      <c r="H244" s="35">
        <v>15474.55</v>
      </c>
      <c r="I244" s="2">
        <v>11635</v>
      </c>
      <c r="J244" s="34">
        <v>41644</v>
      </c>
      <c r="K244">
        <f t="shared" si="3"/>
        <v>15474.55</v>
      </c>
    </row>
    <row r="245" spans="1:11" x14ac:dyDescent="0.2">
      <c r="A245" s="32" t="s">
        <v>76</v>
      </c>
      <c r="B245" s="6" t="s">
        <v>124</v>
      </c>
      <c r="C245" s="6">
        <v>991</v>
      </c>
      <c r="D245" s="33">
        <v>10</v>
      </c>
      <c r="E245" s="2">
        <v>300</v>
      </c>
      <c r="F245" s="2" t="s">
        <v>751</v>
      </c>
      <c r="G245" s="3" t="s">
        <v>752</v>
      </c>
      <c r="H245" s="35" t="s">
        <v>753</v>
      </c>
      <c r="I245" s="2" t="s">
        <v>754</v>
      </c>
      <c r="J245" s="34">
        <v>41645</v>
      </c>
      <c r="K245">
        <f t="shared" si="3"/>
        <v>282435</v>
      </c>
    </row>
    <row r="246" spans="1:11" x14ac:dyDescent="0.2">
      <c r="A246" s="32" t="s">
        <v>34</v>
      </c>
      <c r="B246" s="6" t="s">
        <v>124</v>
      </c>
      <c r="C246" s="6">
        <v>602</v>
      </c>
      <c r="D246" s="33">
        <v>10</v>
      </c>
      <c r="E246" s="2">
        <v>350</v>
      </c>
      <c r="F246" s="2" t="s">
        <v>790</v>
      </c>
      <c r="G246" s="3" t="s">
        <v>791</v>
      </c>
      <c r="H246" s="35" t="s">
        <v>792</v>
      </c>
      <c r="I246" s="2" t="s">
        <v>793</v>
      </c>
      <c r="J246" s="34">
        <v>41645</v>
      </c>
      <c r="K246">
        <f t="shared" si="3"/>
        <v>200165</v>
      </c>
    </row>
    <row r="247" spans="1:11" x14ac:dyDescent="0.2">
      <c r="A247" s="32" t="s">
        <v>32</v>
      </c>
      <c r="B247" s="6" t="s">
        <v>124</v>
      </c>
      <c r="C247" s="6">
        <v>2620</v>
      </c>
      <c r="D247" s="33">
        <v>10</v>
      </c>
      <c r="E247" s="2">
        <v>15</v>
      </c>
      <c r="F247" s="2">
        <v>39300</v>
      </c>
      <c r="G247" s="3" t="s">
        <v>794</v>
      </c>
      <c r="H247" s="35">
        <v>37335</v>
      </c>
      <c r="I247" s="2">
        <v>26200</v>
      </c>
      <c r="J247" s="34">
        <v>41648</v>
      </c>
      <c r="K247">
        <f t="shared" si="3"/>
        <v>37335</v>
      </c>
    </row>
    <row r="248" spans="1:11" x14ac:dyDescent="0.2">
      <c r="A248" s="32" t="s">
        <v>26</v>
      </c>
      <c r="B248" s="6" t="s">
        <v>124</v>
      </c>
      <c r="C248" s="6">
        <v>1228</v>
      </c>
      <c r="D248" s="33">
        <v>10</v>
      </c>
      <c r="E248" s="2">
        <v>350</v>
      </c>
      <c r="F248" s="2" t="s">
        <v>795</v>
      </c>
      <c r="G248" s="3" t="s">
        <v>796</v>
      </c>
      <c r="H248" s="35" t="s">
        <v>797</v>
      </c>
      <c r="I248" s="2" t="s">
        <v>798</v>
      </c>
      <c r="J248" s="34">
        <v>41284</v>
      </c>
      <c r="K248">
        <f t="shared" si="3"/>
        <v>408310</v>
      </c>
    </row>
    <row r="249" spans="1:11" x14ac:dyDescent="0.2">
      <c r="A249" s="32" t="s">
        <v>26</v>
      </c>
      <c r="B249" s="6" t="s">
        <v>124</v>
      </c>
      <c r="C249" s="6">
        <v>1389</v>
      </c>
      <c r="D249" s="33">
        <v>10</v>
      </c>
      <c r="E249" s="2">
        <v>20</v>
      </c>
      <c r="F249" s="2">
        <v>27780</v>
      </c>
      <c r="G249" s="3" t="s">
        <v>799</v>
      </c>
      <c r="H249" s="35">
        <v>26391</v>
      </c>
      <c r="I249" s="2">
        <v>13890</v>
      </c>
      <c r="J249" s="34">
        <v>41284</v>
      </c>
      <c r="K249">
        <f t="shared" si="3"/>
        <v>26391</v>
      </c>
    </row>
    <row r="250" spans="1:11" x14ac:dyDescent="0.2">
      <c r="A250" s="32" t="s">
        <v>72</v>
      </c>
      <c r="B250" s="6" t="s">
        <v>124</v>
      </c>
      <c r="C250" s="6">
        <v>861</v>
      </c>
      <c r="D250" s="33">
        <v>10</v>
      </c>
      <c r="E250" s="2">
        <v>125</v>
      </c>
      <c r="F250" s="2" t="s">
        <v>800</v>
      </c>
      <c r="G250" s="3" t="s">
        <v>801</v>
      </c>
      <c r="H250" s="35" t="s">
        <v>802</v>
      </c>
      <c r="I250" s="2" t="s">
        <v>803</v>
      </c>
      <c r="J250" s="34">
        <v>41649</v>
      </c>
      <c r="K250">
        <f t="shared" si="3"/>
        <v>102243.75</v>
      </c>
    </row>
    <row r="251" spans="1:11" x14ac:dyDescent="0.2">
      <c r="A251" s="32" t="s">
        <v>73</v>
      </c>
      <c r="B251" s="6" t="s">
        <v>124</v>
      </c>
      <c r="C251" s="6">
        <v>704</v>
      </c>
      <c r="D251" s="33">
        <v>10</v>
      </c>
      <c r="E251" s="2">
        <v>125</v>
      </c>
      <c r="F251" s="2">
        <v>88000</v>
      </c>
      <c r="G251" s="3" t="s">
        <v>804</v>
      </c>
      <c r="H251" s="35">
        <v>83600</v>
      </c>
      <c r="I251" s="2">
        <v>84480</v>
      </c>
      <c r="J251" s="34">
        <v>41284</v>
      </c>
      <c r="K251">
        <f t="shared" si="3"/>
        <v>83600</v>
      </c>
    </row>
    <row r="252" spans="1:11" x14ac:dyDescent="0.2">
      <c r="A252" s="32" t="s">
        <v>26</v>
      </c>
      <c r="B252" s="6" t="s">
        <v>124</v>
      </c>
      <c r="C252" s="6">
        <v>1802</v>
      </c>
      <c r="D252" s="33">
        <v>10</v>
      </c>
      <c r="E252" s="2">
        <v>20</v>
      </c>
      <c r="F252" s="2">
        <v>36040</v>
      </c>
      <c r="G252" s="3" t="s">
        <v>805</v>
      </c>
      <c r="H252" s="35">
        <v>34238</v>
      </c>
      <c r="I252" s="2">
        <v>18020</v>
      </c>
      <c r="J252" s="34">
        <v>41286</v>
      </c>
      <c r="K252">
        <f t="shared" si="3"/>
        <v>34238</v>
      </c>
    </row>
    <row r="253" spans="1:11" x14ac:dyDescent="0.2">
      <c r="A253" s="32" t="s">
        <v>34</v>
      </c>
      <c r="B253" s="6" t="s">
        <v>124</v>
      </c>
      <c r="C253" s="6">
        <v>2663</v>
      </c>
      <c r="D253" s="33">
        <v>10</v>
      </c>
      <c r="E253" s="2">
        <v>20</v>
      </c>
      <c r="F253" s="2">
        <v>53260</v>
      </c>
      <c r="G253" s="3" t="s">
        <v>806</v>
      </c>
      <c r="H253" s="35">
        <v>50597</v>
      </c>
      <c r="I253" s="2">
        <v>26630</v>
      </c>
      <c r="J253" s="34">
        <v>41651</v>
      </c>
      <c r="K253">
        <f t="shared" si="3"/>
        <v>50597</v>
      </c>
    </row>
    <row r="254" spans="1:11" x14ac:dyDescent="0.2">
      <c r="A254" s="32" t="s">
        <v>56</v>
      </c>
      <c r="B254" s="6" t="s">
        <v>124</v>
      </c>
      <c r="C254" s="6">
        <v>2136</v>
      </c>
      <c r="D254" s="33">
        <v>10</v>
      </c>
      <c r="E254" s="2">
        <v>7</v>
      </c>
      <c r="F254" s="2">
        <v>14952</v>
      </c>
      <c r="G254" s="3" t="s">
        <v>807</v>
      </c>
      <c r="H254" s="35">
        <v>14204.4</v>
      </c>
      <c r="I254" s="2">
        <v>10680</v>
      </c>
      <c r="J254" s="34">
        <v>41286</v>
      </c>
      <c r="K254">
        <f t="shared" si="3"/>
        <v>14204.4</v>
      </c>
    </row>
    <row r="255" spans="1:11" x14ac:dyDescent="0.2">
      <c r="A255" s="32" t="s">
        <v>75</v>
      </c>
      <c r="B255" s="6" t="s">
        <v>124</v>
      </c>
      <c r="C255" s="6">
        <v>2116</v>
      </c>
      <c r="D255" s="33">
        <v>10</v>
      </c>
      <c r="E255" s="2">
        <v>15</v>
      </c>
      <c r="F255" s="2">
        <v>31740</v>
      </c>
      <c r="G255" s="3" t="s">
        <v>808</v>
      </c>
      <c r="H255" s="35">
        <v>30153</v>
      </c>
      <c r="I255" s="2">
        <v>21160</v>
      </c>
      <c r="J255" s="34">
        <v>41286</v>
      </c>
      <c r="K255">
        <f t="shared" si="3"/>
        <v>30153</v>
      </c>
    </row>
    <row r="256" spans="1:11" x14ac:dyDescent="0.2">
      <c r="A256" s="32" t="s">
        <v>129</v>
      </c>
      <c r="B256" s="6" t="s">
        <v>124</v>
      </c>
      <c r="C256" s="6">
        <v>555</v>
      </c>
      <c r="D256" s="33">
        <v>120</v>
      </c>
      <c r="E256" s="2">
        <v>15</v>
      </c>
      <c r="F256" s="2">
        <v>8325</v>
      </c>
      <c r="G256" s="3" t="s">
        <v>809</v>
      </c>
      <c r="H256" s="35">
        <v>7908.75</v>
      </c>
      <c r="I256" s="2">
        <v>5550</v>
      </c>
      <c r="J256" s="34">
        <v>41640</v>
      </c>
      <c r="K256">
        <f t="shared" si="3"/>
        <v>7908.75</v>
      </c>
    </row>
    <row r="257" spans="1:11" x14ac:dyDescent="0.2">
      <c r="A257" s="32" t="s">
        <v>130</v>
      </c>
      <c r="B257" s="6" t="s">
        <v>124</v>
      </c>
      <c r="C257" s="6">
        <v>2861</v>
      </c>
      <c r="D257" s="33">
        <v>120</v>
      </c>
      <c r="E257" s="2">
        <v>15</v>
      </c>
      <c r="F257" s="2">
        <v>42915</v>
      </c>
      <c r="G257" s="3" t="s">
        <v>810</v>
      </c>
      <c r="H257" s="35">
        <v>40769.25</v>
      </c>
      <c r="I257" s="2">
        <v>28610</v>
      </c>
      <c r="J257" s="34">
        <v>41640</v>
      </c>
      <c r="K257">
        <f t="shared" si="3"/>
        <v>40769.25</v>
      </c>
    </row>
    <row r="258" spans="1:11" x14ac:dyDescent="0.2">
      <c r="A258" s="32" t="s">
        <v>99</v>
      </c>
      <c r="B258" s="6" t="s">
        <v>124</v>
      </c>
      <c r="C258" s="6">
        <v>807</v>
      </c>
      <c r="D258" s="33">
        <v>120</v>
      </c>
      <c r="E258" s="2">
        <v>125</v>
      </c>
      <c r="F258" s="2" t="s">
        <v>811</v>
      </c>
      <c r="G258" s="3" t="s">
        <v>812</v>
      </c>
      <c r="H258" s="35">
        <v>95831.25</v>
      </c>
      <c r="I258" s="2">
        <v>96840</v>
      </c>
      <c r="J258" s="34">
        <v>41641</v>
      </c>
      <c r="K258">
        <f t="shared" si="3"/>
        <v>95831.25</v>
      </c>
    </row>
    <row r="259" spans="1:11" x14ac:dyDescent="0.2">
      <c r="A259" s="32" t="s">
        <v>98</v>
      </c>
      <c r="B259" s="6" t="s">
        <v>124</v>
      </c>
      <c r="C259" s="6">
        <v>602</v>
      </c>
      <c r="D259" s="33">
        <v>120</v>
      </c>
      <c r="E259" s="2">
        <v>350</v>
      </c>
      <c r="F259" s="2" t="s">
        <v>790</v>
      </c>
      <c r="G259" s="3" t="s">
        <v>791</v>
      </c>
      <c r="H259" s="35" t="s">
        <v>792</v>
      </c>
      <c r="I259" s="2" t="s">
        <v>793</v>
      </c>
      <c r="J259" s="34">
        <v>41645</v>
      </c>
      <c r="K259">
        <f t="shared" si="3"/>
        <v>200165</v>
      </c>
    </row>
    <row r="260" spans="1:11" x14ac:dyDescent="0.2">
      <c r="A260" s="32" t="s">
        <v>98</v>
      </c>
      <c r="B260" s="6" t="s">
        <v>124</v>
      </c>
      <c r="C260" s="6">
        <v>2832</v>
      </c>
      <c r="D260" s="33">
        <v>120</v>
      </c>
      <c r="E260" s="2">
        <v>20</v>
      </c>
      <c r="F260" s="2">
        <v>56640</v>
      </c>
      <c r="G260" s="3" t="s">
        <v>813</v>
      </c>
      <c r="H260" s="35">
        <v>53808</v>
      </c>
      <c r="I260" s="2">
        <v>28320</v>
      </c>
      <c r="J260" s="34">
        <v>41647</v>
      </c>
      <c r="K260">
        <f t="shared" si="3"/>
        <v>53808</v>
      </c>
    </row>
    <row r="261" spans="1:11" x14ac:dyDescent="0.2">
      <c r="A261" s="32" t="s">
        <v>58</v>
      </c>
      <c r="B261" s="6" t="s">
        <v>124</v>
      </c>
      <c r="C261" s="6">
        <v>1579</v>
      </c>
      <c r="D261" s="33">
        <v>120</v>
      </c>
      <c r="E261" s="2">
        <v>20</v>
      </c>
      <c r="F261" s="2">
        <v>31580</v>
      </c>
      <c r="G261" s="3" t="s">
        <v>814</v>
      </c>
      <c r="H261" s="35">
        <v>30001</v>
      </c>
      <c r="I261" s="2">
        <v>15790</v>
      </c>
      <c r="J261" s="34">
        <v>41647</v>
      </c>
      <c r="K261">
        <f t="shared" ref="K261:K324" si="4">_xlfn.NUMBERVALUE(SUBSTITUTE(H261," $","",1))</f>
        <v>30001</v>
      </c>
    </row>
    <row r="262" spans="1:11" x14ac:dyDescent="0.2">
      <c r="A262" s="32" t="s">
        <v>41</v>
      </c>
      <c r="B262" s="6" t="s">
        <v>124</v>
      </c>
      <c r="C262" s="6">
        <v>861</v>
      </c>
      <c r="D262" s="33">
        <v>120</v>
      </c>
      <c r="E262" s="2">
        <v>125</v>
      </c>
      <c r="F262" s="2" t="s">
        <v>800</v>
      </c>
      <c r="G262" s="3" t="s">
        <v>801</v>
      </c>
      <c r="H262" s="35" t="s">
        <v>802</v>
      </c>
      <c r="I262" s="2" t="s">
        <v>803</v>
      </c>
      <c r="J262" s="34">
        <v>41649</v>
      </c>
      <c r="K262">
        <f t="shared" si="4"/>
        <v>102243.75</v>
      </c>
    </row>
    <row r="263" spans="1:11" x14ac:dyDescent="0.2">
      <c r="A263" s="32" t="s">
        <v>38</v>
      </c>
      <c r="B263" s="6" t="s">
        <v>124</v>
      </c>
      <c r="C263" s="6">
        <v>704</v>
      </c>
      <c r="D263" s="33">
        <v>120</v>
      </c>
      <c r="E263" s="2">
        <v>125</v>
      </c>
      <c r="F263" s="2">
        <v>88000</v>
      </c>
      <c r="G263" s="3" t="s">
        <v>804</v>
      </c>
      <c r="H263" s="35">
        <v>83600</v>
      </c>
      <c r="I263" s="2">
        <v>84480</v>
      </c>
      <c r="J263" s="34">
        <v>41284</v>
      </c>
      <c r="K263">
        <f t="shared" si="4"/>
        <v>83600</v>
      </c>
    </row>
    <row r="264" spans="1:11" x14ac:dyDescent="0.2">
      <c r="A264" s="32" t="s">
        <v>58</v>
      </c>
      <c r="B264" s="6" t="s">
        <v>124</v>
      </c>
      <c r="C264" s="6">
        <v>1033</v>
      </c>
      <c r="D264" s="33">
        <v>120</v>
      </c>
      <c r="E264" s="2">
        <v>20</v>
      </c>
      <c r="F264" s="2">
        <v>20660</v>
      </c>
      <c r="G264" s="3" t="s">
        <v>815</v>
      </c>
      <c r="H264" s="35">
        <v>19627</v>
      </c>
      <c r="I264" s="2">
        <v>10330</v>
      </c>
      <c r="J264" s="34">
        <v>41286</v>
      </c>
      <c r="K264">
        <f t="shared" si="4"/>
        <v>19627</v>
      </c>
    </row>
    <row r="265" spans="1:11" x14ac:dyDescent="0.2">
      <c r="A265" s="32" t="s">
        <v>131</v>
      </c>
      <c r="B265" s="6" t="s">
        <v>124</v>
      </c>
      <c r="C265" s="6">
        <v>1250</v>
      </c>
      <c r="D265" s="33">
        <v>120</v>
      </c>
      <c r="E265" s="2">
        <v>300</v>
      </c>
      <c r="F265" s="2" t="s">
        <v>816</v>
      </c>
      <c r="G265" s="3" t="s">
        <v>817</v>
      </c>
      <c r="H265" s="35" t="s">
        <v>818</v>
      </c>
      <c r="I265" s="2" t="s">
        <v>819</v>
      </c>
      <c r="J265" s="34">
        <v>41651</v>
      </c>
      <c r="K265">
        <f t="shared" si="4"/>
        <v>356250</v>
      </c>
    </row>
    <row r="266" spans="1:11" x14ac:dyDescent="0.2">
      <c r="A266" s="32" t="s">
        <v>49</v>
      </c>
      <c r="B266" s="6" t="s">
        <v>124</v>
      </c>
      <c r="C266" s="6">
        <v>1389</v>
      </c>
      <c r="D266" s="33">
        <v>250</v>
      </c>
      <c r="E266" s="2">
        <v>20</v>
      </c>
      <c r="F266" s="2">
        <v>27780</v>
      </c>
      <c r="G266" s="3" t="s">
        <v>799</v>
      </c>
      <c r="H266" s="35">
        <v>26391</v>
      </c>
      <c r="I266" s="2">
        <v>13890</v>
      </c>
      <c r="J266" s="34">
        <v>41284</v>
      </c>
      <c r="K266">
        <f t="shared" si="4"/>
        <v>26391</v>
      </c>
    </row>
    <row r="267" spans="1:11" x14ac:dyDescent="0.2">
      <c r="A267" s="32" t="s">
        <v>105</v>
      </c>
      <c r="B267" s="6" t="s">
        <v>124</v>
      </c>
      <c r="C267" s="6">
        <v>1265</v>
      </c>
      <c r="D267" s="33">
        <v>250</v>
      </c>
      <c r="E267" s="2">
        <v>20</v>
      </c>
      <c r="F267" s="2">
        <v>25300</v>
      </c>
      <c r="G267" s="3" t="s">
        <v>820</v>
      </c>
      <c r="H267" s="35">
        <v>24035</v>
      </c>
      <c r="I267" s="2">
        <v>12650</v>
      </c>
      <c r="J267" s="34">
        <v>41285</v>
      </c>
      <c r="K267">
        <f t="shared" si="4"/>
        <v>24035</v>
      </c>
    </row>
    <row r="268" spans="1:11" x14ac:dyDescent="0.2">
      <c r="A268" s="32" t="s">
        <v>78</v>
      </c>
      <c r="B268" s="6" t="s">
        <v>124</v>
      </c>
      <c r="C268" s="6">
        <v>2297</v>
      </c>
      <c r="D268" s="33">
        <v>250</v>
      </c>
      <c r="E268" s="2">
        <v>20</v>
      </c>
      <c r="F268" s="2">
        <v>45940</v>
      </c>
      <c r="G268" s="3" t="s">
        <v>821</v>
      </c>
      <c r="H268" s="35">
        <v>43643</v>
      </c>
      <c r="I268" s="2">
        <v>22970</v>
      </c>
      <c r="J268" s="34">
        <v>41285</v>
      </c>
      <c r="K268">
        <f t="shared" si="4"/>
        <v>43643</v>
      </c>
    </row>
    <row r="269" spans="1:11" x14ac:dyDescent="0.2">
      <c r="A269" s="32" t="s">
        <v>105</v>
      </c>
      <c r="B269" s="6" t="s">
        <v>124</v>
      </c>
      <c r="C269" s="6">
        <v>2663</v>
      </c>
      <c r="D269" s="33">
        <v>250</v>
      </c>
      <c r="E269" s="2">
        <v>20</v>
      </c>
      <c r="F269" s="2">
        <v>53260</v>
      </c>
      <c r="G269" s="3" t="s">
        <v>806</v>
      </c>
      <c r="H269" s="35">
        <v>50597</v>
      </c>
      <c r="I269" s="2">
        <v>26630</v>
      </c>
      <c r="J269" s="34">
        <v>41651</v>
      </c>
      <c r="K269">
        <f t="shared" si="4"/>
        <v>50597</v>
      </c>
    </row>
    <row r="270" spans="1:11" x14ac:dyDescent="0.2">
      <c r="A270" s="32" t="s">
        <v>105</v>
      </c>
      <c r="B270" s="6" t="s">
        <v>124</v>
      </c>
      <c r="C270" s="6">
        <v>570</v>
      </c>
      <c r="D270" s="33">
        <v>250</v>
      </c>
      <c r="E270" s="2">
        <v>7</v>
      </c>
      <c r="F270" s="2">
        <v>3990</v>
      </c>
      <c r="G270" s="3" t="s">
        <v>757</v>
      </c>
      <c r="H270" s="35">
        <v>3790.5</v>
      </c>
      <c r="I270" s="2">
        <v>2850</v>
      </c>
      <c r="J270" s="34">
        <v>41651</v>
      </c>
      <c r="K270">
        <f t="shared" si="4"/>
        <v>3790.5</v>
      </c>
    </row>
    <row r="271" spans="1:11" x14ac:dyDescent="0.2">
      <c r="A271" s="32" t="s">
        <v>47</v>
      </c>
      <c r="B271" s="6" t="s">
        <v>124</v>
      </c>
      <c r="C271" s="6">
        <v>2487</v>
      </c>
      <c r="D271" s="33">
        <v>250</v>
      </c>
      <c r="E271" s="2">
        <v>7</v>
      </c>
      <c r="F271" s="2">
        <v>17409</v>
      </c>
      <c r="G271" s="3" t="s">
        <v>758</v>
      </c>
      <c r="H271" s="35">
        <v>16538.55</v>
      </c>
      <c r="I271" s="2">
        <v>12435</v>
      </c>
      <c r="J271" s="34">
        <v>41651</v>
      </c>
      <c r="K271">
        <f t="shared" si="4"/>
        <v>16538.55</v>
      </c>
    </row>
    <row r="272" spans="1:11" x14ac:dyDescent="0.2">
      <c r="A272" s="32" t="s">
        <v>53</v>
      </c>
      <c r="B272" s="6" t="s">
        <v>124</v>
      </c>
      <c r="C272" s="6">
        <v>1350</v>
      </c>
      <c r="D272" s="33">
        <v>260</v>
      </c>
      <c r="E272" s="2">
        <v>350</v>
      </c>
      <c r="F272" s="2" t="s">
        <v>822</v>
      </c>
      <c r="G272" s="3" t="s">
        <v>823</v>
      </c>
      <c r="H272" s="35" t="s">
        <v>824</v>
      </c>
      <c r="I272" s="2" t="s">
        <v>825</v>
      </c>
      <c r="J272" s="34">
        <v>41641</v>
      </c>
      <c r="K272">
        <f t="shared" si="4"/>
        <v>448875</v>
      </c>
    </row>
    <row r="273" spans="1:11" x14ac:dyDescent="0.2">
      <c r="A273" s="32" t="s">
        <v>123</v>
      </c>
      <c r="B273" s="6" t="s">
        <v>124</v>
      </c>
      <c r="C273" s="6">
        <v>552</v>
      </c>
      <c r="D273" s="33">
        <v>260</v>
      </c>
      <c r="E273" s="2">
        <v>350</v>
      </c>
      <c r="F273" s="2" t="s">
        <v>826</v>
      </c>
      <c r="G273" s="3" t="s">
        <v>827</v>
      </c>
      <c r="H273" s="35" t="s">
        <v>828</v>
      </c>
      <c r="I273" s="2" t="s">
        <v>829</v>
      </c>
      <c r="J273" s="34">
        <v>41647</v>
      </c>
      <c r="K273">
        <f t="shared" si="4"/>
        <v>183540</v>
      </c>
    </row>
    <row r="274" spans="1:11" x14ac:dyDescent="0.2">
      <c r="A274" s="32" t="s">
        <v>123</v>
      </c>
      <c r="B274" s="6" t="s">
        <v>124</v>
      </c>
      <c r="C274" s="6">
        <v>1228</v>
      </c>
      <c r="D274" s="33">
        <v>260</v>
      </c>
      <c r="E274" s="2">
        <v>350</v>
      </c>
      <c r="F274" s="2" t="s">
        <v>795</v>
      </c>
      <c r="G274" s="3" t="s">
        <v>796</v>
      </c>
      <c r="H274" s="35" t="s">
        <v>797</v>
      </c>
      <c r="I274" s="2" t="s">
        <v>798</v>
      </c>
      <c r="J274" s="34">
        <v>41284</v>
      </c>
      <c r="K274">
        <f t="shared" si="4"/>
        <v>408310</v>
      </c>
    </row>
    <row r="275" spans="1:11" x14ac:dyDescent="0.2">
      <c r="A275" s="32" t="s">
        <v>106</v>
      </c>
      <c r="B275" s="6" t="s">
        <v>124</v>
      </c>
      <c r="C275" s="6">
        <v>1250</v>
      </c>
      <c r="D275" s="33">
        <v>260</v>
      </c>
      <c r="E275" s="2">
        <v>300</v>
      </c>
      <c r="F275" s="2" t="s">
        <v>816</v>
      </c>
      <c r="G275" s="3" t="s">
        <v>817</v>
      </c>
      <c r="H275" s="35" t="s">
        <v>818</v>
      </c>
      <c r="I275" s="2" t="s">
        <v>819</v>
      </c>
      <c r="J275" s="34">
        <v>41651</v>
      </c>
      <c r="K275">
        <f t="shared" si="4"/>
        <v>356250</v>
      </c>
    </row>
    <row r="276" spans="1:11" x14ac:dyDescent="0.2">
      <c r="A276" s="32" t="s">
        <v>32</v>
      </c>
      <c r="B276" s="6" t="s">
        <v>124</v>
      </c>
      <c r="C276" s="6">
        <v>3801</v>
      </c>
      <c r="D276" s="33">
        <v>10</v>
      </c>
      <c r="E276" s="2">
        <v>15</v>
      </c>
      <c r="F276" s="2">
        <v>57015</v>
      </c>
      <c r="G276" s="3" t="s">
        <v>830</v>
      </c>
      <c r="H276" s="35">
        <v>53594.1</v>
      </c>
      <c r="I276" s="2">
        <v>38010</v>
      </c>
      <c r="J276" s="34">
        <v>41643</v>
      </c>
      <c r="K276">
        <f t="shared" si="4"/>
        <v>53594.1</v>
      </c>
    </row>
    <row r="277" spans="1:11" x14ac:dyDescent="0.2">
      <c r="A277" s="32" t="s">
        <v>61</v>
      </c>
      <c r="B277" s="6" t="s">
        <v>124</v>
      </c>
      <c r="C277" s="6">
        <v>1117.5</v>
      </c>
      <c r="D277" s="33">
        <v>3</v>
      </c>
      <c r="E277" s="2">
        <v>20</v>
      </c>
      <c r="F277" s="2">
        <v>22350</v>
      </c>
      <c r="G277" s="3" t="s">
        <v>831</v>
      </c>
      <c r="H277" s="35">
        <v>21009</v>
      </c>
      <c r="I277" s="2">
        <v>11175</v>
      </c>
      <c r="J277" s="34">
        <v>41640</v>
      </c>
      <c r="K277">
        <f t="shared" si="4"/>
        <v>21009</v>
      </c>
    </row>
    <row r="278" spans="1:11" x14ac:dyDescent="0.2">
      <c r="A278" s="32" t="s">
        <v>132</v>
      </c>
      <c r="B278" s="6" t="s">
        <v>124</v>
      </c>
      <c r="C278" s="6">
        <v>2844</v>
      </c>
      <c r="D278" s="33">
        <v>3</v>
      </c>
      <c r="E278" s="2">
        <v>15</v>
      </c>
      <c r="F278" s="2">
        <v>42660</v>
      </c>
      <c r="G278" s="3" t="s">
        <v>832</v>
      </c>
      <c r="H278" s="35">
        <v>40100.400000000001</v>
      </c>
      <c r="I278" s="2">
        <v>28440</v>
      </c>
      <c r="J278" s="34">
        <v>41645</v>
      </c>
      <c r="K278">
        <f t="shared" si="4"/>
        <v>40100.400000000001</v>
      </c>
    </row>
    <row r="279" spans="1:11" x14ac:dyDescent="0.2">
      <c r="A279" s="32" t="s">
        <v>133</v>
      </c>
      <c r="B279" s="6" t="s">
        <v>124</v>
      </c>
      <c r="C279" s="6">
        <v>562</v>
      </c>
      <c r="D279" s="33">
        <v>3</v>
      </c>
      <c r="E279" s="2">
        <v>12</v>
      </c>
      <c r="F279" s="2">
        <v>6744</v>
      </c>
      <c r="G279" s="3" t="s">
        <v>833</v>
      </c>
      <c r="H279" s="35">
        <v>6339.36</v>
      </c>
      <c r="I279" s="2">
        <v>1686</v>
      </c>
      <c r="J279" s="34">
        <v>41648</v>
      </c>
      <c r="K279">
        <f t="shared" si="4"/>
        <v>6339.36</v>
      </c>
    </row>
    <row r="280" spans="1:11" x14ac:dyDescent="0.2">
      <c r="A280" s="32" t="s">
        <v>62</v>
      </c>
      <c r="B280" s="6" t="s">
        <v>124</v>
      </c>
      <c r="C280" s="6">
        <v>2299</v>
      </c>
      <c r="D280" s="33">
        <v>3</v>
      </c>
      <c r="E280" s="2">
        <v>12</v>
      </c>
      <c r="F280" s="2">
        <v>27588</v>
      </c>
      <c r="G280" s="3" t="s">
        <v>834</v>
      </c>
      <c r="H280" s="35">
        <v>25932.720000000001</v>
      </c>
      <c r="I280" s="2">
        <v>6897</v>
      </c>
      <c r="J280" s="34">
        <v>41284</v>
      </c>
      <c r="K280">
        <f t="shared" si="4"/>
        <v>25932.720000000001</v>
      </c>
    </row>
    <row r="281" spans="1:11" x14ac:dyDescent="0.2">
      <c r="A281" s="32" t="s">
        <v>134</v>
      </c>
      <c r="B281" s="6" t="s">
        <v>124</v>
      </c>
      <c r="C281" s="6">
        <v>2030</v>
      </c>
      <c r="D281" s="33">
        <v>3</v>
      </c>
      <c r="E281" s="2">
        <v>15</v>
      </c>
      <c r="F281" s="2">
        <v>30450</v>
      </c>
      <c r="G281" s="3" t="s">
        <v>835</v>
      </c>
      <c r="H281" s="35">
        <v>28623</v>
      </c>
      <c r="I281" s="2">
        <v>20300</v>
      </c>
      <c r="J281" s="34">
        <v>41650</v>
      </c>
      <c r="K281">
        <f t="shared" si="4"/>
        <v>28623</v>
      </c>
    </row>
    <row r="282" spans="1:11" x14ac:dyDescent="0.2">
      <c r="A282" s="32" t="s">
        <v>61</v>
      </c>
      <c r="B282" s="6" t="s">
        <v>124</v>
      </c>
      <c r="C282" s="6">
        <v>263</v>
      </c>
      <c r="D282" s="33">
        <v>3</v>
      </c>
      <c r="E282" s="2">
        <v>7</v>
      </c>
      <c r="F282" s="2">
        <v>1841</v>
      </c>
      <c r="G282" s="3" t="s">
        <v>836</v>
      </c>
      <c r="H282" s="35">
        <v>1730.54</v>
      </c>
      <c r="I282" s="2">
        <v>1315</v>
      </c>
      <c r="J282" s="34">
        <v>41285</v>
      </c>
      <c r="K282">
        <f t="shared" si="4"/>
        <v>1730.54</v>
      </c>
    </row>
    <row r="283" spans="1:11" x14ac:dyDescent="0.2">
      <c r="A283" s="32" t="s">
        <v>135</v>
      </c>
      <c r="B283" s="6" t="s">
        <v>124</v>
      </c>
      <c r="C283" s="6">
        <v>887</v>
      </c>
      <c r="D283" s="33">
        <v>3</v>
      </c>
      <c r="E283" s="2">
        <v>125</v>
      </c>
      <c r="F283" s="2" t="s">
        <v>837</v>
      </c>
      <c r="G283" s="3" t="s">
        <v>648</v>
      </c>
      <c r="H283" s="35" t="s">
        <v>838</v>
      </c>
      <c r="I283" s="2" t="s">
        <v>839</v>
      </c>
      <c r="J283" s="34">
        <v>41286</v>
      </c>
      <c r="K283">
        <f t="shared" si="4"/>
        <v>104222.5</v>
      </c>
    </row>
    <row r="284" spans="1:11" x14ac:dyDescent="0.2">
      <c r="A284" s="32" t="s">
        <v>128</v>
      </c>
      <c r="B284" s="6" t="s">
        <v>124</v>
      </c>
      <c r="C284" s="6">
        <v>980</v>
      </c>
      <c r="D284" s="33">
        <v>5</v>
      </c>
      <c r="E284" s="2">
        <v>350</v>
      </c>
      <c r="F284" s="2" t="s">
        <v>840</v>
      </c>
      <c r="G284" s="3" t="s">
        <v>841</v>
      </c>
      <c r="H284" s="35" t="s">
        <v>842</v>
      </c>
      <c r="I284" s="2" t="s">
        <v>843</v>
      </c>
      <c r="J284" s="34">
        <v>41643</v>
      </c>
      <c r="K284">
        <f t="shared" si="4"/>
        <v>322420</v>
      </c>
    </row>
    <row r="285" spans="1:11" x14ac:dyDescent="0.2">
      <c r="A285" s="32" t="s">
        <v>24</v>
      </c>
      <c r="B285" s="6" t="s">
        <v>124</v>
      </c>
      <c r="C285" s="6">
        <v>1460</v>
      </c>
      <c r="D285" s="33">
        <v>5</v>
      </c>
      <c r="E285" s="2">
        <v>350</v>
      </c>
      <c r="F285" s="2" t="s">
        <v>844</v>
      </c>
      <c r="G285" s="3" t="s">
        <v>845</v>
      </c>
      <c r="H285" s="35" t="s">
        <v>846</v>
      </c>
      <c r="I285" s="2" t="s">
        <v>847</v>
      </c>
      <c r="J285" s="34">
        <v>41644</v>
      </c>
      <c r="K285">
        <f t="shared" si="4"/>
        <v>480340</v>
      </c>
    </row>
    <row r="286" spans="1:11" x14ac:dyDescent="0.2">
      <c r="A286" s="32" t="s">
        <v>19</v>
      </c>
      <c r="B286" s="6" t="s">
        <v>124</v>
      </c>
      <c r="C286" s="6">
        <v>1403</v>
      </c>
      <c r="D286" s="33">
        <v>5</v>
      </c>
      <c r="E286" s="2">
        <v>7</v>
      </c>
      <c r="F286" s="2">
        <v>9821</v>
      </c>
      <c r="G286" s="3" t="s">
        <v>848</v>
      </c>
      <c r="H286" s="35">
        <v>9231.74</v>
      </c>
      <c r="I286" s="2">
        <v>7015</v>
      </c>
      <c r="J286" s="34">
        <v>41284</v>
      </c>
      <c r="K286">
        <f t="shared" si="4"/>
        <v>9231.74</v>
      </c>
    </row>
    <row r="287" spans="1:11" x14ac:dyDescent="0.2">
      <c r="A287" s="32" t="s">
        <v>87</v>
      </c>
      <c r="B287" s="6" t="s">
        <v>124</v>
      </c>
      <c r="C287" s="6">
        <v>2723</v>
      </c>
      <c r="D287" s="33">
        <v>5</v>
      </c>
      <c r="E287" s="2">
        <v>12</v>
      </c>
      <c r="F287" s="2">
        <v>32676</v>
      </c>
      <c r="G287" s="3" t="s">
        <v>849</v>
      </c>
      <c r="H287" s="35">
        <v>30715.439999999999</v>
      </c>
      <c r="I287" s="2">
        <v>8169</v>
      </c>
      <c r="J287" s="34">
        <v>41650</v>
      </c>
      <c r="K287">
        <f t="shared" si="4"/>
        <v>30715.439999999999</v>
      </c>
    </row>
    <row r="288" spans="1:11" x14ac:dyDescent="0.2">
      <c r="A288" s="32" t="s">
        <v>56</v>
      </c>
      <c r="B288" s="6" t="s">
        <v>124</v>
      </c>
      <c r="C288" s="6">
        <v>1496</v>
      </c>
      <c r="D288" s="33">
        <v>10</v>
      </c>
      <c r="E288" s="2">
        <v>350</v>
      </c>
      <c r="F288" s="2" t="s">
        <v>850</v>
      </c>
      <c r="G288" s="3" t="s">
        <v>851</v>
      </c>
      <c r="H288" s="35" t="s">
        <v>852</v>
      </c>
      <c r="I288" s="2" t="s">
        <v>853</v>
      </c>
      <c r="J288" s="34">
        <v>41645</v>
      </c>
      <c r="K288">
        <f t="shared" si="4"/>
        <v>492184</v>
      </c>
    </row>
    <row r="289" spans="1:11" x14ac:dyDescent="0.2">
      <c r="A289" s="32" t="s">
        <v>28</v>
      </c>
      <c r="B289" s="6" t="s">
        <v>124</v>
      </c>
      <c r="C289" s="6">
        <v>2299</v>
      </c>
      <c r="D289" s="33">
        <v>10</v>
      </c>
      <c r="E289" s="2">
        <v>12</v>
      </c>
      <c r="F289" s="2">
        <v>27588</v>
      </c>
      <c r="G289" s="3" t="s">
        <v>834</v>
      </c>
      <c r="H289" s="35">
        <v>25932.720000000001</v>
      </c>
      <c r="I289" s="2">
        <v>6897</v>
      </c>
      <c r="J289" s="34">
        <v>41284</v>
      </c>
      <c r="K289">
        <f t="shared" si="4"/>
        <v>25932.720000000001</v>
      </c>
    </row>
    <row r="290" spans="1:11" x14ac:dyDescent="0.2">
      <c r="A290" s="32" t="s">
        <v>34</v>
      </c>
      <c r="B290" s="6" t="s">
        <v>124</v>
      </c>
      <c r="C290" s="6">
        <v>727</v>
      </c>
      <c r="D290" s="33">
        <v>10</v>
      </c>
      <c r="E290" s="2">
        <v>350</v>
      </c>
      <c r="F290" s="2" t="s">
        <v>854</v>
      </c>
      <c r="G290" s="3" t="s">
        <v>855</v>
      </c>
      <c r="H290" s="35" t="s">
        <v>856</v>
      </c>
      <c r="I290" s="2" t="s">
        <v>857</v>
      </c>
      <c r="J290" s="34">
        <v>41284</v>
      </c>
      <c r="K290">
        <f t="shared" si="4"/>
        <v>239183</v>
      </c>
    </row>
    <row r="291" spans="1:11" x14ac:dyDescent="0.2">
      <c r="A291" s="32" t="s">
        <v>42</v>
      </c>
      <c r="B291" s="6" t="s">
        <v>124</v>
      </c>
      <c r="C291" s="6">
        <v>952</v>
      </c>
      <c r="D291" s="33">
        <v>120</v>
      </c>
      <c r="E291" s="2">
        <v>125</v>
      </c>
      <c r="F291" s="2" t="s">
        <v>858</v>
      </c>
      <c r="G291" s="3" t="s">
        <v>859</v>
      </c>
      <c r="H291" s="35" t="s">
        <v>860</v>
      </c>
      <c r="I291" s="2" t="s">
        <v>861</v>
      </c>
      <c r="J291" s="34">
        <v>41641</v>
      </c>
      <c r="K291">
        <f t="shared" si="4"/>
        <v>111860</v>
      </c>
    </row>
    <row r="292" spans="1:11" x14ac:dyDescent="0.2">
      <c r="A292" s="32" t="s">
        <v>41</v>
      </c>
      <c r="B292" s="6" t="s">
        <v>124</v>
      </c>
      <c r="C292" s="6">
        <v>2755</v>
      </c>
      <c r="D292" s="33">
        <v>120</v>
      </c>
      <c r="E292" s="2">
        <v>125</v>
      </c>
      <c r="F292" s="2" t="s">
        <v>862</v>
      </c>
      <c r="G292" s="3" t="s">
        <v>863</v>
      </c>
      <c r="H292" s="35" t="s">
        <v>864</v>
      </c>
      <c r="I292" s="2" t="s">
        <v>865</v>
      </c>
      <c r="J292" s="34">
        <v>41641</v>
      </c>
      <c r="K292">
        <f t="shared" si="4"/>
        <v>323712.5</v>
      </c>
    </row>
    <row r="293" spans="1:11" x14ac:dyDescent="0.2">
      <c r="A293" s="32" t="s">
        <v>136</v>
      </c>
      <c r="B293" s="6" t="s">
        <v>124</v>
      </c>
      <c r="C293" s="6">
        <v>1530</v>
      </c>
      <c r="D293" s="33">
        <v>120</v>
      </c>
      <c r="E293" s="2">
        <v>15</v>
      </c>
      <c r="F293" s="2">
        <v>22950</v>
      </c>
      <c r="G293" s="3" t="s">
        <v>866</v>
      </c>
      <c r="H293" s="35">
        <v>21573</v>
      </c>
      <c r="I293" s="2">
        <v>15300</v>
      </c>
      <c r="J293" s="34">
        <v>41644</v>
      </c>
      <c r="K293">
        <f t="shared" si="4"/>
        <v>21573</v>
      </c>
    </row>
    <row r="294" spans="1:11" x14ac:dyDescent="0.2">
      <c r="A294" s="32" t="s">
        <v>58</v>
      </c>
      <c r="B294" s="6" t="s">
        <v>124</v>
      </c>
      <c r="C294" s="6">
        <v>1496</v>
      </c>
      <c r="D294" s="33">
        <v>120</v>
      </c>
      <c r="E294" s="2">
        <v>350</v>
      </c>
      <c r="F294" s="2" t="s">
        <v>850</v>
      </c>
      <c r="G294" s="3" t="s">
        <v>851</v>
      </c>
      <c r="H294" s="35" t="s">
        <v>852</v>
      </c>
      <c r="I294" s="2" t="s">
        <v>853</v>
      </c>
      <c r="J294" s="34">
        <v>41645</v>
      </c>
      <c r="K294">
        <f t="shared" si="4"/>
        <v>492184</v>
      </c>
    </row>
    <row r="295" spans="1:11" x14ac:dyDescent="0.2">
      <c r="A295" s="32" t="s">
        <v>37</v>
      </c>
      <c r="B295" s="6" t="s">
        <v>124</v>
      </c>
      <c r="C295" s="6">
        <v>1498</v>
      </c>
      <c r="D295" s="33">
        <v>120</v>
      </c>
      <c r="E295" s="2">
        <v>7</v>
      </c>
      <c r="F295" s="2">
        <v>10486</v>
      </c>
      <c r="G295" s="3" t="s">
        <v>867</v>
      </c>
      <c r="H295" s="35">
        <v>9856.84</v>
      </c>
      <c r="I295" s="2">
        <v>7490</v>
      </c>
      <c r="J295" s="34">
        <v>41645</v>
      </c>
      <c r="K295">
        <f t="shared" si="4"/>
        <v>9856.84</v>
      </c>
    </row>
    <row r="296" spans="1:11" x14ac:dyDescent="0.2">
      <c r="A296" s="32" t="s">
        <v>137</v>
      </c>
      <c r="B296" s="6" t="s">
        <v>124</v>
      </c>
      <c r="C296" s="6">
        <v>1221</v>
      </c>
      <c r="D296" s="33">
        <v>120</v>
      </c>
      <c r="E296" s="2">
        <v>300</v>
      </c>
      <c r="F296" s="2" t="s">
        <v>868</v>
      </c>
      <c r="G296" s="3" t="s">
        <v>869</v>
      </c>
      <c r="H296" s="35" t="s">
        <v>870</v>
      </c>
      <c r="I296" s="2" t="s">
        <v>871</v>
      </c>
      <c r="J296" s="34">
        <v>41284</v>
      </c>
      <c r="K296">
        <f t="shared" si="4"/>
        <v>344322</v>
      </c>
    </row>
    <row r="297" spans="1:11" x14ac:dyDescent="0.2">
      <c r="A297" s="32" t="s">
        <v>58</v>
      </c>
      <c r="B297" s="6" t="s">
        <v>124</v>
      </c>
      <c r="C297" s="6">
        <v>2076</v>
      </c>
      <c r="D297" s="33">
        <v>120</v>
      </c>
      <c r="E297" s="2">
        <v>350</v>
      </c>
      <c r="F297" s="2" t="s">
        <v>872</v>
      </c>
      <c r="G297" s="3" t="s">
        <v>873</v>
      </c>
      <c r="H297" s="35" t="s">
        <v>874</v>
      </c>
      <c r="I297" s="2" t="s">
        <v>875</v>
      </c>
      <c r="J297" s="34">
        <v>41284</v>
      </c>
      <c r="K297">
        <f t="shared" si="4"/>
        <v>683004</v>
      </c>
    </row>
    <row r="298" spans="1:11" x14ac:dyDescent="0.2">
      <c r="A298" s="32" t="s">
        <v>138</v>
      </c>
      <c r="B298" s="6" t="s">
        <v>124</v>
      </c>
      <c r="C298" s="6">
        <v>2844</v>
      </c>
      <c r="D298" s="33">
        <v>250</v>
      </c>
      <c r="E298" s="2">
        <v>15</v>
      </c>
      <c r="F298" s="2">
        <v>42660</v>
      </c>
      <c r="G298" s="3" t="s">
        <v>832</v>
      </c>
      <c r="H298" s="35">
        <v>40100.400000000001</v>
      </c>
      <c r="I298" s="2">
        <v>28440</v>
      </c>
      <c r="J298" s="34">
        <v>41645</v>
      </c>
      <c r="K298">
        <f t="shared" si="4"/>
        <v>40100.400000000001</v>
      </c>
    </row>
    <row r="299" spans="1:11" x14ac:dyDescent="0.2">
      <c r="A299" s="32" t="s">
        <v>83</v>
      </c>
      <c r="B299" s="6" t="s">
        <v>124</v>
      </c>
      <c r="C299" s="6">
        <v>1498</v>
      </c>
      <c r="D299" s="33">
        <v>250</v>
      </c>
      <c r="E299" s="2">
        <v>7</v>
      </c>
      <c r="F299" s="2">
        <v>10486</v>
      </c>
      <c r="G299" s="3" t="s">
        <v>867</v>
      </c>
      <c r="H299" s="35">
        <v>9856.84</v>
      </c>
      <c r="I299" s="2">
        <v>7490</v>
      </c>
      <c r="J299" s="34">
        <v>41645</v>
      </c>
      <c r="K299">
        <f t="shared" si="4"/>
        <v>9856.84</v>
      </c>
    </row>
    <row r="300" spans="1:11" x14ac:dyDescent="0.2">
      <c r="A300" s="32" t="s">
        <v>48</v>
      </c>
      <c r="B300" s="6" t="s">
        <v>124</v>
      </c>
      <c r="C300" s="6">
        <v>1221</v>
      </c>
      <c r="D300" s="33">
        <v>250</v>
      </c>
      <c r="E300" s="2">
        <v>300</v>
      </c>
      <c r="F300" s="2" t="s">
        <v>868</v>
      </c>
      <c r="G300" s="3" t="s">
        <v>869</v>
      </c>
      <c r="H300" s="35" t="s">
        <v>870</v>
      </c>
      <c r="I300" s="2" t="s">
        <v>871</v>
      </c>
      <c r="J300" s="34">
        <v>41284</v>
      </c>
      <c r="K300">
        <f t="shared" si="4"/>
        <v>344322</v>
      </c>
    </row>
    <row r="301" spans="1:11" x14ac:dyDescent="0.2">
      <c r="A301" s="32" t="s">
        <v>83</v>
      </c>
      <c r="B301" s="6" t="s">
        <v>124</v>
      </c>
      <c r="C301" s="6">
        <v>1123</v>
      </c>
      <c r="D301" s="33">
        <v>250</v>
      </c>
      <c r="E301" s="2">
        <v>20</v>
      </c>
      <c r="F301" s="2">
        <v>22460</v>
      </c>
      <c r="G301" s="3" t="s">
        <v>876</v>
      </c>
      <c r="H301" s="35">
        <v>21112.400000000001</v>
      </c>
      <c r="I301" s="2">
        <v>11230</v>
      </c>
      <c r="J301" s="34">
        <v>41285</v>
      </c>
      <c r="K301">
        <f t="shared" si="4"/>
        <v>21112.400000000001</v>
      </c>
    </row>
    <row r="302" spans="1:11" x14ac:dyDescent="0.2">
      <c r="A302" s="32" t="s">
        <v>43</v>
      </c>
      <c r="B302" s="6" t="s">
        <v>124</v>
      </c>
      <c r="C302" s="6">
        <v>2436</v>
      </c>
      <c r="D302" s="33">
        <v>250</v>
      </c>
      <c r="E302" s="2">
        <v>300</v>
      </c>
      <c r="F302" s="2" t="s">
        <v>877</v>
      </c>
      <c r="G302" s="3" t="s">
        <v>878</v>
      </c>
      <c r="H302" s="35" t="s">
        <v>879</v>
      </c>
      <c r="I302" s="2" t="s">
        <v>880</v>
      </c>
      <c r="J302" s="34">
        <v>41286</v>
      </c>
      <c r="K302">
        <f t="shared" si="4"/>
        <v>686952</v>
      </c>
    </row>
    <row r="303" spans="1:11" x14ac:dyDescent="0.2">
      <c r="A303" s="32" t="s">
        <v>139</v>
      </c>
      <c r="B303" s="6" t="s">
        <v>124</v>
      </c>
      <c r="C303" s="6">
        <v>1987.5</v>
      </c>
      <c r="D303" s="33">
        <v>260</v>
      </c>
      <c r="E303" s="2">
        <v>125</v>
      </c>
      <c r="F303" s="2" t="s">
        <v>881</v>
      </c>
      <c r="G303" s="3" t="s">
        <v>782</v>
      </c>
      <c r="H303" s="35" t="s">
        <v>882</v>
      </c>
      <c r="I303" s="2" t="s">
        <v>883</v>
      </c>
      <c r="J303" s="34">
        <v>41640</v>
      </c>
      <c r="K303">
        <f t="shared" si="4"/>
        <v>233531.25</v>
      </c>
    </row>
    <row r="304" spans="1:11" x14ac:dyDescent="0.2">
      <c r="A304" s="32" t="s">
        <v>121</v>
      </c>
      <c r="B304" s="6" t="s">
        <v>124</v>
      </c>
      <c r="C304" s="6">
        <v>1679</v>
      </c>
      <c r="D304" s="33">
        <v>260</v>
      </c>
      <c r="E304" s="2">
        <v>350</v>
      </c>
      <c r="F304" s="2" t="s">
        <v>884</v>
      </c>
      <c r="G304" s="3" t="s">
        <v>885</v>
      </c>
      <c r="H304" s="35" t="s">
        <v>886</v>
      </c>
      <c r="I304" s="2" t="s">
        <v>887</v>
      </c>
      <c r="J304" s="34">
        <v>41648</v>
      </c>
      <c r="K304">
        <f t="shared" si="4"/>
        <v>552391</v>
      </c>
    </row>
    <row r="305" spans="1:11" x14ac:dyDescent="0.2">
      <c r="A305" s="32" t="s">
        <v>54</v>
      </c>
      <c r="B305" s="6" t="s">
        <v>124</v>
      </c>
      <c r="C305" s="6">
        <v>727</v>
      </c>
      <c r="D305" s="33">
        <v>260</v>
      </c>
      <c r="E305" s="2">
        <v>350</v>
      </c>
      <c r="F305" s="2" t="s">
        <v>854</v>
      </c>
      <c r="G305" s="3" t="s">
        <v>855</v>
      </c>
      <c r="H305" s="35" t="s">
        <v>856</v>
      </c>
      <c r="I305" s="2" t="s">
        <v>857</v>
      </c>
      <c r="J305" s="34">
        <v>41284</v>
      </c>
      <c r="K305">
        <f t="shared" si="4"/>
        <v>239183</v>
      </c>
    </row>
    <row r="306" spans="1:11" x14ac:dyDescent="0.2">
      <c r="A306" s="32" t="s">
        <v>50</v>
      </c>
      <c r="B306" s="6" t="s">
        <v>124</v>
      </c>
      <c r="C306" s="6">
        <v>1403</v>
      </c>
      <c r="D306" s="33">
        <v>260</v>
      </c>
      <c r="E306" s="2">
        <v>7</v>
      </c>
      <c r="F306" s="2">
        <v>9821</v>
      </c>
      <c r="G306" s="3" t="s">
        <v>848</v>
      </c>
      <c r="H306" s="35">
        <v>9231.74</v>
      </c>
      <c r="I306" s="2">
        <v>7015</v>
      </c>
      <c r="J306" s="34">
        <v>41284</v>
      </c>
      <c r="K306">
        <f t="shared" si="4"/>
        <v>9231.74</v>
      </c>
    </row>
    <row r="307" spans="1:11" x14ac:dyDescent="0.2">
      <c r="A307" s="32" t="s">
        <v>50</v>
      </c>
      <c r="B307" s="6" t="s">
        <v>124</v>
      </c>
      <c r="C307" s="6">
        <v>2076</v>
      </c>
      <c r="D307" s="33">
        <v>260</v>
      </c>
      <c r="E307" s="2">
        <v>350</v>
      </c>
      <c r="F307" s="2" t="s">
        <v>872</v>
      </c>
      <c r="G307" s="3" t="s">
        <v>873</v>
      </c>
      <c r="H307" s="35" t="s">
        <v>874</v>
      </c>
      <c r="I307" s="2" t="s">
        <v>875</v>
      </c>
      <c r="J307" s="34">
        <v>41284</v>
      </c>
      <c r="K307">
        <f t="shared" si="4"/>
        <v>683004</v>
      </c>
    </row>
    <row r="308" spans="1:11" x14ac:dyDescent="0.2">
      <c r="A308" s="32" t="s">
        <v>19</v>
      </c>
      <c r="B308" s="6" t="s">
        <v>124</v>
      </c>
      <c r="C308" s="6">
        <v>1757</v>
      </c>
      <c r="D308" s="33">
        <v>5</v>
      </c>
      <c r="E308" s="2">
        <v>20</v>
      </c>
      <c r="F308" s="2">
        <v>35140</v>
      </c>
      <c r="G308" s="3" t="s">
        <v>888</v>
      </c>
      <c r="H308" s="35">
        <v>33031.599999999999</v>
      </c>
      <c r="I308" s="2">
        <v>17570</v>
      </c>
      <c r="J308" s="34">
        <v>41284</v>
      </c>
      <c r="K308">
        <f t="shared" si="4"/>
        <v>33031.599999999999</v>
      </c>
    </row>
    <row r="309" spans="1:11" x14ac:dyDescent="0.2">
      <c r="A309" s="32" t="s">
        <v>71</v>
      </c>
      <c r="B309" s="6" t="s">
        <v>124</v>
      </c>
      <c r="C309" s="6">
        <v>2198</v>
      </c>
      <c r="D309" s="33">
        <v>10</v>
      </c>
      <c r="E309" s="2">
        <v>15</v>
      </c>
      <c r="F309" s="2">
        <v>32970</v>
      </c>
      <c r="G309" s="3" t="s">
        <v>889</v>
      </c>
      <c r="H309" s="35">
        <v>30991.8</v>
      </c>
      <c r="I309" s="2">
        <v>21980</v>
      </c>
      <c r="J309" s="34">
        <v>41647</v>
      </c>
      <c r="K309">
        <f t="shared" si="4"/>
        <v>30991.8</v>
      </c>
    </row>
    <row r="310" spans="1:11" x14ac:dyDescent="0.2">
      <c r="A310" s="32" t="s">
        <v>75</v>
      </c>
      <c r="B310" s="6" t="s">
        <v>124</v>
      </c>
      <c r="C310" s="6">
        <v>1743</v>
      </c>
      <c r="D310" s="33">
        <v>10</v>
      </c>
      <c r="E310" s="2">
        <v>15</v>
      </c>
      <c r="F310" s="2">
        <v>26145</v>
      </c>
      <c r="G310" s="3" t="s">
        <v>890</v>
      </c>
      <c r="H310" s="35">
        <v>24576.3</v>
      </c>
      <c r="I310" s="2">
        <v>17430</v>
      </c>
      <c r="J310" s="34">
        <v>41647</v>
      </c>
      <c r="K310">
        <f t="shared" si="4"/>
        <v>24576.3</v>
      </c>
    </row>
    <row r="311" spans="1:11" x14ac:dyDescent="0.2">
      <c r="A311" s="32" t="s">
        <v>71</v>
      </c>
      <c r="B311" s="6" t="s">
        <v>124</v>
      </c>
      <c r="C311" s="6">
        <v>1153</v>
      </c>
      <c r="D311" s="33">
        <v>10</v>
      </c>
      <c r="E311" s="2">
        <v>15</v>
      </c>
      <c r="F311" s="2">
        <v>17295</v>
      </c>
      <c r="G311" s="3" t="s">
        <v>891</v>
      </c>
      <c r="H311" s="35">
        <v>16257.3</v>
      </c>
      <c r="I311" s="2">
        <v>11530</v>
      </c>
      <c r="J311" s="34">
        <v>41649</v>
      </c>
      <c r="K311">
        <f t="shared" si="4"/>
        <v>16257.3</v>
      </c>
    </row>
    <row r="312" spans="1:11" x14ac:dyDescent="0.2">
      <c r="A312" s="32" t="s">
        <v>56</v>
      </c>
      <c r="B312" s="6" t="s">
        <v>124</v>
      </c>
      <c r="C312" s="6">
        <v>1757</v>
      </c>
      <c r="D312" s="33">
        <v>10</v>
      </c>
      <c r="E312" s="2">
        <v>20</v>
      </c>
      <c r="F312" s="2">
        <v>35140</v>
      </c>
      <c r="G312" s="3" t="s">
        <v>888</v>
      </c>
      <c r="H312" s="35">
        <v>33031.599999999999</v>
      </c>
      <c r="I312" s="2">
        <v>17570</v>
      </c>
      <c r="J312" s="34">
        <v>41284</v>
      </c>
      <c r="K312">
        <f t="shared" si="4"/>
        <v>33031.599999999999</v>
      </c>
    </row>
    <row r="313" spans="1:11" x14ac:dyDescent="0.2">
      <c r="A313" s="32" t="s">
        <v>40</v>
      </c>
      <c r="B313" s="6" t="s">
        <v>124</v>
      </c>
      <c r="C313" s="6">
        <v>1001</v>
      </c>
      <c r="D313" s="33">
        <v>120</v>
      </c>
      <c r="E313" s="2">
        <v>20</v>
      </c>
      <c r="F313" s="2">
        <v>20020</v>
      </c>
      <c r="G313" s="3" t="s">
        <v>892</v>
      </c>
      <c r="H313" s="35">
        <v>18818.8</v>
      </c>
      <c r="I313" s="2">
        <v>10010</v>
      </c>
      <c r="J313" s="34">
        <v>41647</v>
      </c>
      <c r="K313">
        <f t="shared" si="4"/>
        <v>18818.8</v>
      </c>
    </row>
    <row r="314" spans="1:11" x14ac:dyDescent="0.2">
      <c r="A314" s="32" t="s">
        <v>37</v>
      </c>
      <c r="B314" s="6" t="s">
        <v>124</v>
      </c>
      <c r="C314" s="6">
        <v>1333</v>
      </c>
      <c r="D314" s="33">
        <v>120</v>
      </c>
      <c r="E314" s="2">
        <v>7</v>
      </c>
      <c r="F314" s="2">
        <v>9331</v>
      </c>
      <c r="G314" s="3" t="s">
        <v>893</v>
      </c>
      <c r="H314" s="35">
        <v>8771.14</v>
      </c>
      <c r="I314" s="2">
        <v>6665</v>
      </c>
      <c r="J314" s="34">
        <v>41650</v>
      </c>
      <c r="K314">
        <f t="shared" si="4"/>
        <v>8771.14</v>
      </c>
    </row>
    <row r="315" spans="1:11" x14ac:dyDescent="0.2">
      <c r="A315" s="32" t="s">
        <v>140</v>
      </c>
      <c r="B315" s="6" t="s">
        <v>124</v>
      </c>
      <c r="C315" s="6">
        <v>1153</v>
      </c>
      <c r="D315" s="33">
        <v>250</v>
      </c>
      <c r="E315" s="2">
        <v>15</v>
      </c>
      <c r="F315" s="2">
        <v>17295</v>
      </c>
      <c r="G315" s="3" t="s">
        <v>891</v>
      </c>
      <c r="H315" s="35">
        <v>16257.3</v>
      </c>
      <c r="I315" s="2">
        <v>11530</v>
      </c>
      <c r="J315" s="34">
        <v>41649</v>
      </c>
      <c r="K315">
        <f t="shared" si="4"/>
        <v>16257.3</v>
      </c>
    </row>
    <row r="316" spans="1:11" x14ac:dyDescent="0.2">
      <c r="A316" s="32" t="s">
        <v>133</v>
      </c>
      <c r="B316" s="6" t="s">
        <v>124</v>
      </c>
      <c r="C316" s="6">
        <v>727</v>
      </c>
      <c r="D316" s="33">
        <v>3</v>
      </c>
      <c r="E316" s="2">
        <v>12</v>
      </c>
      <c r="F316" s="2">
        <v>8724</v>
      </c>
      <c r="G316" s="3" t="s">
        <v>894</v>
      </c>
      <c r="H316" s="35">
        <v>8113.32</v>
      </c>
      <c r="I316" s="2">
        <v>2181</v>
      </c>
      <c r="J316" s="34">
        <v>41641</v>
      </c>
      <c r="K316">
        <f t="shared" si="4"/>
        <v>8113.32</v>
      </c>
    </row>
    <row r="317" spans="1:11" x14ac:dyDescent="0.2">
      <c r="A317" s="32" t="s">
        <v>62</v>
      </c>
      <c r="B317" s="6" t="s">
        <v>124</v>
      </c>
      <c r="C317" s="6">
        <v>1884</v>
      </c>
      <c r="D317" s="33">
        <v>3</v>
      </c>
      <c r="E317" s="2">
        <v>12</v>
      </c>
      <c r="F317" s="2">
        <v>22608</v>
      </c>
      <c r="G317" s="3" t="s">
        <v>895</v>
      </c>
      <c r="H317" s="35">
        <v>21025.439999999999</v>
      </c>
      <c r="I317" s="2">
        <v>5652</v>
      </c>
      <c r="J317" s="34">
        <v>41647</v>
      </c>
      <c r="K317">
        <f t="shared" si="4"/>
        <v>21025.439999999999</v>
      </c>
    </row>
    <row r="318" spans="1:11" x14ac:dyDescent="0.2">
      <c r="A318" s="32" t="s">
        <v>60</v>
      </c>
      <c r="B318" s="6" t="s">
        <v>124</v>
      </c>
      <c r="C318" s="6">
        <v>1834</v>
      </c>
      <c r="D318" s="33">
        <v>3</v>
      </c>
      <c r="E318" s="2">
        <v>20</v>
      </c>
      <c r="F318" s="2">
        <v>36680</v>
      </c>
      <c r="G318" s="3" t="s">
        <v>896</v>
      </c>
      <c r="H318" s="35">
        <v>34112.400000000001</v>
      </c>
      <c r="I318" s="2">
        <v>18340</v>
      </c>
      <c r="J318" s="34">
        <v>41283</v>
      </c>
      <c r="K318">
        <f t="shared" si="4"/>
        <v>34112.400000000001</v>
      </c>
    </row>
    <row r="319" spans="1:11" x14ac:dyDescent="0.2">
      <c r="A319" s="32" t="s">
        <v>89</v>
      </c>
      <c r="B319" s="6" t="s">
        <v>124</v>
      </c>
      <c r="C319" s="6">
        <v>2340</v>
      </c>
      <c r="D319" s="33">
        <v>5</v>
      </c>
      <c r="E319" s="2">
        <v>12</v>
      </c>
      <c r="F319" s="2">
        <v>28080</v>
      </c>
      <c r="G319" s="3" t="s">
        <v>897</v>
      </c>
      <c r="H319" s="35">
        <v>26114.400000000001</v>
      </c>
      <c r="I319" s="2">
        <v>7020</v>
      </c>
      <c r="J319" s="34">
        <v>41640</v>
      </c>
      <c r="K319">
        <f t="shared" si="4"/>
        <v>26114.400000000001</v>
      </c>
    </row>
    <row r="320" spans="1:11" x14ac:dyDescent="0.2">
      <c r="A320" s="32" t="s">
        <v>110</v>
      </c>
      <c r="B320" s="6" t="s">
        <v>124</v>
      </c>
      <c r="C320" s="6">
        <v>2342</v>
      </c>
      <c r="D320" s="33">
        <v>5</v>
      </c>
      <c r="E320" s="2">
        <v>12</v>
      </c>
      <c r="F320" s="2">
        <v>28104</v>
      </c>
      <c r="G320" s="3" t="s">
        <v>898</v>
      </c>
      <c r="H320" s="35">
        <v>26136.720000000001</v>
      </c>
      <c r="I320" s="2">
        <v>7026</v>
      </c>
      <c r="J320" s="34">
        <v>41650</v>
      </c>
      <c r="K320">
        <f t="shared" si="4"/>
        <v>26136.720000000001</v>
      </c>
    </row>
    <row r="321" spans="1:11" x14ac:dyDescent="0.2">
      <c r="A321" s="32" t="s">
        <v>56</v>
      </c>
      <c r="B321" s="6" t="s">
        <v>124</v>
      </c>
      <c r="C321" s="6">
        <v>1031</v>
      </c>
      <c r="D321" s="33">
        <v>10</v>
      </c>
      <c r="E321" s="2">
        <v>7</v>
      </c>
      <c r="F321" s="2">
        <v>7217</v>
      </c>
      <c r="G321" s="3" t="s">
        <v>899</v>
      </c>
      <c r="H321" s="35">
        <v>6711.81</v>
      </c>
      <c r="I321" s="2">
        <v>5155</v>
      </c>
      <c r="J321" s="34">
        <v>41283</v>
      </c>
      <c r="K321">
        <f t="shared" si="4"/>
        <v>6711.81</v>
      </c>
    </row>
    <row r="322" spans="1:11" x14ac:dyDescent="0.2">
      <c r="A322" s="32" t="s">
        <v>141</v>
      </c>
      <c r="B322" s="6" t="s">
        <v>124</v>
      </c>
      <c r="C322" s="6">
        <v>1262</v>
      </c>
      <c r="D322" s="33">
        <v>120</v>
      </c>
      <c r="E322" s="2">
        <v>15</v>
      </c>
      <c r="F322" s="2">
        <v>18930</v>
      </c>
      <c r="G322" s="3" t="s">
        <v>900</v>
      </c>
      <c r="H322" s="35">
        <v>17604.900000000001</v>
      </c>
      <c r="I322" s="2">
        <v>12620</v>
      </c>
      <c r="J322" s="34">
        <v>41644</v>
      </c>
      <c r="K322">
        <f t="shared" si="4"/>
        <v>17604.900000000001</v>
      </c>
    </row>
    <row r="323" spans="1:11" x14ac:dyDescent="0.2">
      <c r="A323" s="32" t="s">
        <v>77</v>
      </c>
      <c r="B323" s="6" t="s">
        <v>124</v>
      </c>
      <c r="C323" s="6">
        <v>1135</v>
      </c>
      <c r="D323" s="33">
        <v>120</v>
      </c>
      <c r="E323" s="2">
        <v>7</v>
      </c>
      <c r="F323" s="2">
        <v>7945</v>
      </c>
      <c r="G323" s="3" t="s">
        <v>901</v>
      </c>
      <c r="H323" s="35">
        <v>7388.85</v>
      </c>
      <c r="I323" s="2">
        <v>5675</v>
      </c>
      <c r="J323" s="34">
        <v>41645</v>
      </c>
      <c r="K323">
        <f t="shared" si="4"/>
        <v>7388.85</v>
      </c>
    </row>
    <row r="324" spans="1:11" x14ac:dyDescent="0.2">
      <c r="A324" s="32" t="s">
        <v>98</v>
      </c>
      <c r="B324" s="6" t="s">
        <v>124</v>
      </c>
      <c r="C324" s="6">
        <v>547</v>
      </c>
      <c r="D324" s="33">
        <v>120</v>
      </c>
      <c r="E324" s="2">
        <v>7</v>
      </c>
      <c r="F324" s="2">
        <v>3829</v>
      </c>
      <c r="G324" s="3" t="s">
        <v>902</v>
      </c>
      <c r="H324" s="35">
        <v>3560.97</v>
      </c>
      <c r="I324" s="2">
        <v>2735</v>
      </c>
      <c r="J324" s="34">
        <v>41650</v>
      </c>
      <c r="K324">
        <f t="shared" si="4"/>
        <v>3560.97</v>
      </c>
    </row>
    <row r="325" spans="1:11" x14ac:dyDescent="0.2">
      <c r="A325" s="32" t="s">
        <v>77</v>
      </c>
      <c r="B325" s="6" t="s">
        <v>124</v>
      </c>
      <c r="C325" s="6">
        <v>1582</v>
      </c>
      <c r="D325" s="33">
        <v>120</v>
      </c>
      <c r="E325" s="2">
        <v>7</v>
      </c>
      <c r="F325" s="2">
        <v>11074</v>
      </c>
      <c r="G325" s="3" t="s">
        <v>903</v>
      </c>
      <c r="H325" s="35">
        <v>10298.82</v>
      </c>
      <c r="I325" s="2">
        <v>7910</v>
      </c>
      <c r="J325" s="34">
        <v>41651</v>
      </c>
      <c r="K325">
        <f t="shared" ref="K325:K388" si="5">_xlfn.NUMBERVALUE(SUBSTITUTE(H325," $","",1))</f>
        <v>10298.82</v>
      </c>
    </row>
    <row r="326" spans="1:11" x14ac:dyDescent="0.2">
      <c r="A326" s="32" t="s">
        <v>119</v>
      </c>
      <c r="B326" s="6" t="s">
        <v>124</v>
      </c>
      <c r="C326" s="6">
        <v>1738.5</v>
      </c>
      <c r="D326" s="33">
        <v>250</v>
      </c>
      <c r="E326" s="2">
        <v>12</v>
      </c>
      <c r="F326" s="2">
        <v>20862</v>
      </c>
      <c r="G326" s="3" t="s">
        <v>904</v>
      </c>
      <c r="H326" s="35">
        <v>19401.66</v>
      </c>
      <c r="I326" s="2">
        <v>5215.5</v>
      </c>
      <c r="J326" s="34">
        <v>41643</v>
      </c>
      <c r="K326">
        <f t="shared" si="5"/>
        <v>19401.66</v>
      </c>
    </row>
    <row r="327" spans="1:11" x14ac:dyDescent="0.2">
      <c r="A327" s="32" t="s">
        <v>44</v>
      </c>
      <c r="B327" s="6" t="s">
        <v>124</v>
      </c>
      <c r="C327" s="6">
        <v>2215</v>
      </c>
      <c r="D327" s="33">
        <v>250</v>
      </c>
      <c r="E327" s="2">
        <v>12</v>
      </c>
      <c r="F327" s="2">
        <v>26580</v>
      </c>
      <c r="G327" s="3" t="s">
        <v>905</v>
      </c>
      <c r="H327" s="35">
        <v>24719.4</v>
      </c>
      <c r="I327" s="2">
        <v>6645</v>
      </c>
      <c r="J327" s="34">
        <v>41283</v>
      </c>
      <c r="K327">
        <f t="shared" si="5"/>
        <v>24719.4</v>
      </c>
    </row>
    <row r="328" spans="1:11" x14ac:dyDescent="0.2">
      <c r="A328" s="32" t="s">
        <v>49</v>
      </c>
      <c r="B328" s="6" t="s">
        <v>124</v>
      </c>
      <c r="C328" s="6">
        <v>1582</v>
      </c>
      <c r="D328" s="33">
        <v>250</v>
      </c>
      <c r="E328" s="2">
        <v>7</v>
      </c>
      <c r="F328" s="2">
        <v>11074</v>
      </c>
      <c r="G328" s="3" t="s">
        <v>903</v>
      </c>
      <c r="H328" s="35">
        <v>10298.82</v>
      </c>
      <c r="I328" s="2">
        <v>7910</v>
      </c>
      <c r="J328" s="34">
        <v>41651</v>
      </c>
      <c r="K328">
        <f t="shared" si="5"/>
        <v>10298.82</v>
      </c>
    </row>
    <row r="329" spans="1:11" x14ac:dyDescent="0.2">
      <c r="A329" s="32" t="s">
        <v>123</v>
      </c>
      <c r="B329" s="6" t="s">
        <v>124</v>
      </c>
      <c r="C329" s="6">
        <v>1135</v>
      </c>
      <c r="D329" s="33">
        <v>260</v>
      </c>
      <c r="E329" s="2">
        <v>7</v>
      </c>
      <c r="F329" s="2">
        <v>7945</v>
      </c>
      <c r="G329" s="3" t="s">
        <v>901</v>
      </c>
      <c r="H329" s="35">
        <v>7388.85</v>
      </c>
      <c r="I329" s="2">
        <v>5675</v>
      </c>
      <c r="J329" s="34">
        <v>41645</v>
      </c>
      <c r="K329">
        <f t="shared" si="5"/>
        <v>7388.85</v>
      </c>
    </row>
    <row r="330" spans="1:11" x14ac:dyDescent="0.2">
      <c r="A330" s="32" t="s">
        <v>61</v>
      </c>
      <c r="B330" s="6" t="s">
        <v>124</v>
      </c>
      <c r="C330" s="6">
        <v>1761</v>
      </c>
      <c r="D330" s="33">
        <v>3</v>
      </c>
      <c r="E330" s="2">
        <v>350</v>
      </c>
      <c r="F330" s="2" t="s">
        <v>906</v>
      </c>
      <c r="G330" s="3" t="s">
        <v>907</v>
      </c>
      <c r="H330" s="35" t="s">
        <v>908</v>
      </c>
      <c r="I330" s="2" t="s">
        <v>909</v>
      </c>
      <c r="J330" s="34">
        <v>41642</v>
      </c>
      <c r="K330">
        <f t="shared" si="5"/>
        <v>573205.5</v>
      </c>
    </row>
    <row r="331" spans="1:11" x14ac:dyDescent="0.2">
      <c r="A331" s="32" t="s">
        <v>142</v>
      </c>
      <c r="B331" s="6" t="s">
        <v>124</v>
      </c>
      <c r="C331" s="6">
        <v>448</v>
      </c>
      <c r="D331" s="33">
        <v>3</v>
      </c>
      <c r="E331" s="2">
        <v>300</v>
      </c>
      <c r="F331" s="2" t="s">
        <v>910</v>
      </c>
      <c r="G331" s="3" t="s">
        <v>911</v>
      </c>
      <c r="H331" s="35" t="s">
        <v>912</v>
      </c>
      <c r="I331" s="2" t="s">
        <v>913</v>
      </c>
      <c r="J331" s="34">
        <v>41645</v>
      </c>
      <c r="K331">
        <f t="shared" si="5"/>
        <v>124992</v>
      </c>
    </row>
    <row r="332" spans="1:11" x14ac:dyDescent="0.2">
      <c r="A332" s="32" t="s">
        <v>142</v>
      </c>
      <c r="B332" s="6" t="s">
        <v>124</v>
      </c>
      <c r="C332" s="6">
        <v>2181</v>
      </c>
      <c r="D332" s="33">
        <v>3</v>
      </c>
      <c r="E332" s="2">
        <v>300</v>
      </c>
      <c r="F332" s="2" t="s">
        <v>914</v>
      </c>
      <c r="G332" s="3" t="s">
        <v>915</v>
      </c>
      <c r="H332" s="35" t="s">
        <v>916</v>
      </c>
      <c r="I332" s="2" t="s">
        <v>917</v>
      </c>
      <c r="J332" s="34">
        <v>41649</v>
      </c>
      <c r="K332">
        <f t="shared" si="5"/>
        <v>608499</v>
      </c>
    </row>
    <row r="333" spans="1:11" x14ac:dyDescent="0.2">
      <c r="A333" s="32" t="s">
        <v>19</v>
      </c>
      <c r="B333" s="6" t="s">
        <v>124</v>
      </c>
      <c r="C333" s="6">
        <v>1976</v>
      </c>
      <c r="D333" s="33">
        <v>5</v>
      </c>
      <c r="E333" s="2">
        <v>20</v>
      </c>
      <c r="F333" s="2">
        <v>39520</v>
      </c>
      <c r="G333" s="3" t="s">
        <v>918</v>
      </c>
      <c r="H333" s="35">
        <v>36753.599999999999</v>
      </c>
      <c r="I333" s="2">
        <v>19760</v>
      </c>
      <c r="J333" s="34">
        <v>41649</v>
      </c>
      <c r="K333">
        <f t="shared" si="5"/>
        <v>36753.599999999999</v>
      </c>
    </row>
    <row r="334" spans="1:11" x14ac:dyDescent="0.2">
      <c r="A334" s="32" t="s">
        <v>143</v>
      </c>
      <c r="B334" s="6" t="s">
        <v>124</v>
      </c>
      <c r="C334" s="6">
        <v>2181</v>
      </c>
      <c r="D334" s="33">
        <v>5</v>
      </c>
      <c r="E334" s="2">
        <v>300</v>
      </c>
      <c r="F334" s="2" t="s">
        <v>914</v>
      </c>
      <c r="G334" s="3" t="s">
        <v>915</v>
      </c>
      <c r="H334" s="35" t="s">
        <v>916</v>
      </c>
      <c r="I334" s="2" t="s">
        <v>917</v>
      </c>
      <c r="J334" s="34">
        <v>41649</v>
      </c>
      <c r="K334">
        <f t="shared" si="5"/>
        <v>608499</v>
      </c>
    </row>
    <row r="335" spans="1:11" x14ac:dyDescent="0.2">
      <c r="A335" s="32" t="s">
        <v>112</v>
      </c>
      <c r="B335" s="6" t="s">
        <v>124</v>
      </c>
      <c r="C335" s="6">
        <v>2500</v>
      </c>
      <c r="D335" s="33">
        <v>5</v>
      </c>
      <c r="E335" s="2">
        <v>125</v>
      </c>
      <c r="F335" s="2" t="s">
        <v>819</v>
      </c>
      <c r="G335" s="3" t="s">
        <v>919</v>
      </c>
      <c r="H335" s="35" t="s">
        <v>920</v>
      </c>
      <c r="I335" s="2" t="s">
        <v>921</v>
      </c>
      <c r="J335" s="34">
        <v>41285</v>
      </c>
      <c r="K335">
        <f t="shared" si="5"/>
        <v>290625</v>
      </c>
    </row>
    <row r="336" spans="1:11" x14ac:dyDescent="0.2">
      <c r="A336" s="32" t="s">
        <v>95</v>
      </c>
      <c r="B336" s="6" t="s">
        <v>124</v>
      </c>
      <c r="C336" s="6">
        <v>1702</v>
      </c>
      <c r="D336" s="33">
        <v>10</v>
      </c>
      <c r="E336" s="2">
        <v>300</v>
      </c>
      <c r="F336" s="2" t="s">
        <v>922</v>
      </c>
      <c r="G336" s="3" t="s">
        <v>923</v>
      </c>
      <c r="H336" s="35" t="s">
        <v>924</v>
      </c>
      <c r="I336" s="2" t="s">
        <v>925</v>
      </c>
      <c r="J336" s="34">
        <v>41644</v>
      </c>
      <c r="K336">
        <f t="shared" si="5"/>
        <v>474858</v>
      </c>
    </row>
    <row r="337" spans="1:11" x14ac:dyDescent="0.2">
      <c r="A337" s="32" t="s">
        <v>91</v>
      </c>
      <c r="B337" s="6" t="s">
        <v>124</v>
      </c>
      <c r="C337" s="6">
        <v>448</v>
      </c>
      <c r="D337" s="33">
        <v>10</v>
      </c>
      <c r="E337" s="2">
        <v>300</v>
      </c>
      <c r="F337" s="2" t="s">
        <v>910</v>
      </c>
      <c r="G337" s="3" t="s">
        <v>911</v>
      </c>
      <c r="H337" s="35" t="s">
        <v>912</v>
      </c>
      <c r="I337" s="2" t="s">
        <v>913</v>
      </c>
      <c r="J337" s="34">
        <v>41645</v>
      </c>
      <c r="K337">
        <f t="shared" si="5"/>
        <v>124992</v>
      </c>
    </row>
    <row r="338" spans="1:11" x14ac:dyDescent="0.2">
      <c r="A338" s="32" t="s">
        <v>93</v>
      </c>
      <c r="B338" s="6" t="s">
        <v>124</v>
      </c>
      <c r="C338" s="6">
        <v>3513</v>
      </c>
      <c r="D338" s="33">
        <v>10</v>
      </c>
      <c r="E338" s="2">
        <v>125</v>
      </c>
      <c r="F338" s="2" t="s">
        <v>926</v>
      </c>
      <c r="G338" s="3" t="s">
        <v>927</v>
      </c>
      <c r="H338" s="35" t="s">
        <v>928</v>
      </c>
      <c r="I338" s="2" t="s">
        <v>929</v>
      </c>
      <c r="J338" s="34">
        <v>41646</v>
      </c>
      <c r="K338">
        <f t="shared" si="5"/>
        <v>408386.25</v>
      </c>
    </row>
    <row r="339" spans="1:11" x14ac:dyDescent="0.2">
      <c r="A339" s="32" t="s">
        <v>32</v>
      </c>
      <c r="B339" s="6" t="s">
        <v>124</v>
      </c>
      <c r="C339" s="6">
        <v>2101</v>
      </c>
      <c r="D339" s="33">
        <v>10</v>
      </c>
      <c r="E339" s="2">
        <v>15</v>
      </c>
      <c r="F339" s="2">
        <v>31515</v>
      </c>
      <c r="G339" s="3" t="s">
        <v>930</v>
      </c>
      <c r="H339" s="35">
        <v>29308.95</v>
      </c>
      <c r="I339" s="2">
        <v>21010</v>
      </c>
      <c r="J339" s="34">
        <v>41647</v>
      </c>
      <c r="K339">
        <f t="shared" si="5"/>
        <v>29308.95</v>
      </c>
    </row>
    <row r="340" spans="1:11" x14ac:dyDescent="0.2">
      <c r="A340" s="32" t="s">
        <v>71</v>
      </c>
      <c r="B340" s="6" t="s">
        <v>124</v>
      </c>
      <c r="C340" s="6">
        <v>2931</v>
      </c>
      <c r="D340" s="33">
        <v>10</v>
      </c>
      <c r="E340" s="2">
        <v>15</v>
      </c>
      <c r="F340" s="2">
        <v>43965</v>
      </c>
      <c r="G340" s="3" t="s">
        <v>931</v>
      </c>
      <c r="H340" s="35">
        <v>40887.449999999997</v>
      </c>
      <c r="I340" s="2">
        <v>29310</v>
      </c>
      <c r="J340" s="34">
        <v>41283</v>
      </c>
      <c r="K340">
        <f t="shared" si="5"/>
        <v>40887.449999999997</v>
      </c>
    </row>
    <row r="341" spans="1:11" x14ac:dyDescent="0.2">
      <c r="A341" s="32" t="s">
        <v>56</v>
      </c>
      <c r="B341" s="6" t="s">
        <v>124</v>
      </c>
      <c r="C341" s="6">
        <v>1535</v>
      </c>
      <c r="D341" s="33">
        <v>10</v>
      </c>
      <c r="E341" s="2">
        <v>20</v>
      </c>
      <c r="F341" s="2">
        <v>30700</v>
      </c>
      <c r="G341" s="3" t="s">
        <v>932</v>
      </c>
      <c r="H341" s="35">
        <v>28551</v>
      </c>
      <c r="I341" s="2">
        <v>15350</v>
      </c>
      <c r="J341" s="34">
        <v>41648</v>
      </c>
      <c r="K341">
        <f t="shared" si="5"/>
        <v>28551</v>
      </c>
    </row>
    <row r="342" spans="1:11" x14ac:dyDescent="0.2">
      <c r="A342" s="32" t="s">
        <v>92</v>
      </c>
      <c r="B342" s="6" t="s">
        <v>124</v>
      </c>
      <c r="C342" s="6">
        <v>1123</v>
      </c>
      <c r="D342" s="33">
        <v>10</v>
      </c>
      <c r="E342" s="2">
        <v>300</v>
      </c>
      <c r="F342" s="2" t="s">
        <v>933</v>
      </c>
      <c r="G342" s="3" t="s">
        <v>934</v>
      </c>
      <c r="H342" s="35" t="s">
        <v>935</v>
      </c>
      <c r="I342" s="2" t="s">
        <v>936</v>
      </c>
      <c r="J342" s="34">
        <v>41283</v>
      </c>
      <c r="K342">
        <f t="shared" si="5"/>
        <v>313317</v>
      </c>
    </row>
    <row r="343" spans="1:11" x14ac:dyDescent="0.2">
      <c r="A343" s="32" t="s">
        <v>95</v>
      </c>
      <c r="B343" s="6" t="s">
        <v>124</v>
      </c>
      <c r="C343" s="6">
        <v>1404</v>
      </c>
      <c r="D343" s="33">
        <v>10</v>
      </c>
      <c r="E343" s="2">
        <v>300</v>
      </c>
      <c r="F343" s="2" t="s">
        <v>937</v>
      </c>
      <c r="G343" s="3" t="s">
        <v>938</v>
      </c>
      <c r="H343" s="35" t="s">
        <v>939</v>
      </c>
      <c r="I343" s="2" t="s">
        <v>825</v>
      </c>
      <c r="J343" s="34">
        <v>41285</v>
      </c>
      <c r="K343">
        <f t="shared" si="5"/>
        <v>391716</v>
      </c>
    </row>
    <row r="344" spans="1:11" x14ac:dyDescent="0.2">
      <c r="A344" s="32" t="s">
        <v>97</v>
      </c>
      <c r="B344" s="6" t="s">
        <v>124</v>
      </c>
      <c r="C344" s="6">
        <v>2763</v>
      </c>
      <c r="D344" s="33">
        <v>10</v>
      </c>
      <c r="E344" s="2">
        <v>12</v>
      </c>
      <c r="F344" s="2">
        <v>33156</v>
      </c>
      <c r="G344" s="3" t="s">
        <v>940</v>
      </c>
      <c r="H344" s="35">
        <v>30835.08</v>
      </c>
      <c r="I344" s="2">
        <v>8289</v>
      </c>
      <c r="J344" s="34">
        <v>41285</v>
      </c>
      <c r="K344">
        <f t="shared" si="5"/>
        <v>30835.08</v>
      </c>
    </row>
    <row r="345" spans="1:11" x14ac:dyDescent="0.2">
      <c r="A345" s="32" t="s">
        <v>29</v>
      </c>
      <c r="B345" s="6" t="s">
        <v>124</v>
      </c>
      <c r="C345" s="6">
        <v>2125</v>
      </c>
      <c r="D345" s="33">
        <v>10</v>
      </c>
      <c r="E345" s="2">
        <v>7</v>
      </c>
      <c r="F345" s="2">
        <v>14875</v>
      </c>
      <c r="G345" s="3" t="s">
        <v>941</v>
      </c>
      <c r="H345" s="35">
        <v>13833.75</v>
      </c>
      <c r="I345" s="2">
        <v>10625</v>
      </c>
      <c r="J345" s="34">
        <v>41286</v>
      </c>
      <c r="K345">
        <f t="shared" si="5"/>
        <v>13833.75</v>
      </c>
    </row>
    <row r="346" spans="1:11" x14ac:dyDescent="0.2">
      <c r="A346" s="32" t="s">
        <v>137</v>
      </c>
      <c r="B346" s="6" t="s">
        <v>124</v>
      </c>
      <c r="C346" s="6">
        <v>1659</v>
      </c>
      <c r="D346" s="33">
        <v>120</v>
      </c>
      <c r="E346" s="2">
        <v>300</v>
      </c>
      <c r="F346" s="2" t="s">
        <v>942</v>
      </c>
      <c r="G346" s="3" t="s">
        <v>943</v>
      </c>
      <c r="H346" s="35" t="s">
        <v>944</v>
      </c>
      <c r="I346" s="2" t="s">
        <v>945</v>
      </c>
      <c r="J346" s="34">
        <v>41646</v>
      </c>
      <c r="K346">
        <f t="shared" si="5"/>
        <v>462861</v>
      </c>
    </row>
    <row r="347" spans="1:11" x14ac:dyDescent="0.2">
      <c r="A347" s="32" t="s">
        <v>37</v>
      </c>
      <c r="B347" s="6" t="s">
        <v>124</v>
      </c>
      <c r="C347" s="6">
        <v>609</v>
      </c>
      <c r="D347" s="33">
        <v>120</v>
      </c>
      <c r="E347" s="2">
        <v>20</v>
      </c>
      <c r="F347" s="2">
        <v>12180</v>
      </c>
      <c r="G347" s="3" t="s">
        <v>946</v>
      </c>
      <c r="H347" s="35">
        <v>11327.4</v>
      </c>
      <c r="I347" s="2">
        <v>6090</v>
      </c>
      <c r="J347" s="34">
        <v>41647</v>
      </c>
      <c r="K347">
        <f t="shared" si="5"/>
        <v>11327.4</v>
      </c>
    </row>
    <row r="348" spans="1:11" x14ac:dyDescent="0.2">
      <c r="A348" s="32" t="s">
        <v>99</v>
      </c>
      <c r="B348" s="6" t="s">
        <v>124</v>
      </c>
      <c r="C348" s="6">
        <v>2087</v>
      </c>
      <c r="D348" s="33">
        <v>120</v>
      </c>
      <c r="E348" s="2">
        <v>125</v>
      </c>
      <c r="F348" s="2" t="s">
        <v>947</v>
      </c>
      <c r="G348" s="3" t="s">
        <v>948</v>
      </c>
      <c r="H348" s="35" t="s">
        <v>949</v>
      </c>
      <c r="I348" s="2" t="s">
        <v>950</v>
      </c>
      <c r="J348" s="34">
        <v>41648</v>
      </c>
      <c r="K348">
        <f t="shared" si="5"/>
        <v>242613.75</v>
      </c>
    </row>
    <row r="349" spans="1:11" x14ac:dyDescent="0.2">
      <c r="A349" s="32" t="s">
        <v>58</v>
      </c>
      <c r="B349" s="6" t="s">
        <v>124</v>
      </c>
      <c r="C349" s="6">
        <v>1976</v>
      </c>
      <c r="D349" s="33">
        <v>120</v>
      </c>
      <c r="E349" s="2">
        <v>20</v>
      </c>
      <c r="F349" s="2">
        <v>39520</v>
      </c>
      <c r="G349" s="3" t="s">
        <v>918</v>
      </c>
      <c r="H349" s="35">
        <v>36753.599999999999</v>
      </c>
      <c r="I349" s="2">
        <v>19760</v>
      </c>
      <c r="J349" s="34">
        <v>41649</v>
      </c>
      <c r="K349">
        <f t="shared" si="5"/>
        <v>36753.599999999999</v>
      </c>
    </row>
    <row r="350" spans="1:11" x14ac:dyDescent="0.2">
      <c r="A350" s="32" t="s">
        <v>98</v>
      </c>
      <c r="B350" s="6" t="s">
        <v>124</v>
      </c>
      <c r="C350" s="6">
        <v>1421</v>
      </c>
      <c r="D350" s="33">
        <v>120</v>
      </c>
      <c r="E350" s="2">
        <v>20</v>
      </c>
      <c r="F350" s="2">
        <v>28420</v>
      </c>
      <c r="G350" s="3" t="s">
        <v>951</v>
      </c>
      <c r="H350" s="35">
        <v>26430.6</v>
      </c>
      <c r="I350" s="2">
        <v>14210</v>
      </c>
      <c r="J350" s="34">
        <v>41286</v>
      </c>
      <c r="K350">
        <f t="shared" si="5"/>
        <v>26430.6</v>
      </c>
    </row>
    <row r="351" spans="1:11" x14ac:dyDescent="0.2">
      <c r="A351" s="32" t="s">
        <v>144</v>
      </c>
      <c r="B351" s="6" t="s">
        <v>124</v>
      </c>
      <c r="C351" s="6">
        <v>1372</v>
      </c>
      <c r="D351" s="33">
        <v>120</v>
      </c>
      <c r="E351" s="2">
        <v>300</v>
      </c>
      <c r="F351" s="2" t="s">
        <v>952</v>
      </c>
      <c r="G351" s="3" t="s">
        <v>953</v>
      </c>
      <c r="H351" s="35" t="s">
        <v>954</v>
      </c>
      <c r="I351" s="2" t="s">
        <v>840</v>
      </c>
      <c r="J351" s="34">
        <v>41651</v>
      </c>
      <c r="K351">
        <f t="shared" si="5"/>
        <v>382788</v>
      </c>
    </row>
    <row r="352" spans="1:11" x14ac:dyDescent="0.2">
      <c r="A352" s="32" t="s">
        <v>40</v>
      </c>
      <c r="B352" s="6" t="s">
        <v>124</v>
      </c>
      <c r="C352" s="6">
        <v>588</v>
      </c>
      <c r="D352" s="33">
        <v>120</v>
      </c>
      <c r="E352" s="2">
        <v>20</v>
      </c>
      <c r="F352" s="2">
        <v>11760</v>
      </c>
      <c r="G352" s="3" t="s">
        <v>955</v>
      </c>
      <c r="H352" s="35">
        <v>10936.8</v>
      </c>
      <c r="I352" s="2">
        <v>5880</v>
      </c>
      <c r="J352" s="34">
        <v>41286</v>
      </c>
      <c r="K352">
        <f t="shared" si="5"/>
        <v>10936.8</v>
      </c>
    </row>
    <row r="353" spans="1:11" x14ac:dyDescent="0.2">
      <c r="A353" s="32" t="s">
        <v>145</v>
      </c>
      <c r="B353" s="6" t="s">
        <v>124</v>
      </c>
      <c r="C353" s="6">
        <v>3244.5</v>
      </c>
      <c r="D353" s="33">
        <v>250</v>
      </c>
      <c r="E353" s="2">
        <v>12</v>
      </c>
      <c r="F353" s="2">
        <v>38934</v>
      </c>
      <c r="G353" s="3" t="s">
        <v>956</v>
      </c>
      <c r="H353" s="35">
        <v>36208.620000000003</v>
      </c>
      <c r="I353" s="2">
        <v>9733.5</v>
      </c>
      <c r="J353" s="34">
        <v>41640</v>
      </c>
      <c r="K353">
        <f t="shared" si="5"/>
        <v>36208.620000000003</v>
      </c>
    </row>
    <row r="354" spans="1:11" x14ac:dyDescent="0.2">
      <c r="A354" s="32" t="s">
        <v>48</v>
      </c>
      <c r="B354" s="6" t="s">
        <v>124</v>
      </c>
      <c r="C354" s="6">
        <v>959</v>
      </c>
      <c r="D354" s="33">
        <v>250</v>
      </c>
      <c r="E354" s="2">
        <v>300</v>
      </c>
      <c r="F354" s="2" t="s">
        <v>957</v>
      </c>
      <c r="G354" s="3" t="s">
        <v>597</v>
      </c>
      <c r="H354" s="35" t="s">
        <v>958</v>
      </c>
      <c r="I354" s="2" t="s">
        <v>959</v>
      </c>
      <c r="J354" s="34">
        <v>41641</v>
      </c>
      <c r="K354">
        <f t="shared" si="5"/>
        <v>267561</v>
      </c>
    </row>
    <row r="355" spans="1:11" x14ac:dyDescent="0.2">
      <c r="A355" s="32" t="s">
        <v>82</v>
      </c>
      <c r="B355" s="6" t="s">
        <v>124</v>
      </c>
      <c r="C355" s="6">
        <v>2747</v>
      </c>
      <c r="D355" s="33">
        <v>250</v>
      </c>
      <c r="E355" s="2">
        <v>300</v>
      </c>
      <c r="F355" s="2" t="s">
        <v>960</v>
      </c>
      <c r="G355" s="3" t="s">
        <v>961</v>
      </c>
      <c r="H355" s="35" t="s">
        <v>962</v>
      </c>
      <c r="I355" s="2" t="s">
        <v>963</v>
      </c>
      <c r="J355" s="34">
        <v>41641</v>
      </c>
      <c r="K355">
        <f t="shared" si="5"/>
        <v>766413</v>
      </c>
    </row>
    <row r="356" spans="1:11" x14ac:dyDescent="0.2">
      <c r="A356" s="32" t="s">
        <v>146</v>
      </c>
      <c r="B356" s="6" t="s">
        <v>124</v>
      </c>
      <c r="C356" s="6">
        <v>1645</v>
      </c>
      <c r="D356" s="33">
        <v>260</v>
      </c>
      <c r="E356" s="2">
        <v>125</v>
      </c>
      <c r="F356" s="2" t="s">
        <v>964</v>
      </c>
      <c r="G356" s="3" t="s">
        <v>965</v>
      </c>
      <c r="H356" s="35" t="s">
        <v>966</v>
      </c>
      <c r="I356" s="2" t="s">
        <v>967</v>
      </c>
      <c r="J356" s="34">
        <v>41644</v>
      </c>
      <c r="K356">
        <f t="shared" si="5"/>
        <v>191231.25</v>
      </c>
    </row>
    <row r="357" spans="1:11" x14ac:dyDescent="0.2">
      <c r="A357" s="32" t="s">
        <v>50</v>
      </c>
      <c r="B357" s="6" t="s">
        <v>124</v>
      </c>
      <c r="C357" s="6">
        <v>2876</v>
      </c>
      <c r="D357" s="33">
        <v>260</v>
      </c>
      <c r="E357" s="2">
        <v>350</v>
      </c>
      <c r="F357" s="2" t="s">
        <v>968</v>
      </c>
      <c r="G357" s="3" t="s">
        <v>969</v>
      </c>
      <c r="H357" s="35" t="s">
        <v>970</v>
      </c>
      <c r="I357" s="2" t="s">
        <v>971</v>
      </c>
      <c r="J357" s="34">
        <v>41648</v>
      </c>
      <c r="K357">
        <f t="shared" si="5"/>
        <v>936138</v>
      </c>
    </row>
    <row r="358" spans="1:11" x14ac:dyDescent="0.2">
      <c r="A358" s="32" t="s">
        <v>52</v>
      </c>
      <c r="B358" s="6" t="s">
        <v>124</v>
      </c>
      <c r="C358" s="6">
        <v>994</v>
      </c>
      <c r="D358" s="33">
        <v>260</v>
      </c>
      <c r="E358" s="2">
        <v>125</v>
      </c>
      <c r="F358" s="2" t="s">
        <v>972</v>
      </c>
      <c r="G358" s="3" t="s">
        <v>973</v>
      </c>
      <c r="H358" s="35" t="s">
        <v>974</v>
      </c>
      <c r="I358" s="2" t="s">
        <v>975</v>
      </c>
      <c r="J358" s="34">
        <v>41283</v>
      </c>
      <c r="K358">
        <f t="shared" si="5"/>
        <v>115552.5</v>
      </c>
    </row>
    <row r="359" spans="1:11" x14ac:dyDescent="0.2">
      <c r="A359" s="32" t="s">
        <v>123</v>
      </c>
      <c r="B359" s="6" t="s">
        <v>124</v>
      </c>
      <c r="C359" s="6">
        <v>1118</v>
      </c>
      <c r="D359" s="33">
        <v>260</v>
      </c>
      <c r="E359" s="2">
        <v>20</v>
      </c>
      <c r="F359" s="2">
        <v>22360</v>
      </c>
      <c r="G359" s="3" t="s">
        <v>976</v>
      </c>
      <c r="H359" s="35">
        <v>20794.8</v>
      </c>
      <c r="I359" s="2">
        <v>11180</v>
      </c>
      <c r="J359" s="34">
        <v>41650</v>
      </c>
      <c r="K359">
        <f t="shared" si="5"/>
        <v>20794.8</v>
      </c>
    </row>
    <row r="360" spans="1:11" x14ac:dyDescent="0.2">
      <c r="A360" s="32" t="s">
        <v>147</v>
      </c>
      <c r="B360" s="6" t="s">
        <v>124</v>
      </c>
      <c r="C360" s="6">
        <v>1372</v>
      </c>
      <c r="D360" s="33">
        <v>260</v>
      </c>
      <c r="E360" s="2">
        <v>300</v>
      </c>
      <c r="F360" s="2" t="s">
        <v>952</v>
      </c>
      <c r="G360" s="3" t="s">
        <v>953</v>
      </c>
      <c r="H360" s="35" t="s">
        <v>954</v>
      </c>
      <c r="I360" s="2" t="s">
        <v>840</v>
      </c>
      <c r="J360" s="34">
        <v>41651</v>
      </c>
      <c r="K360">
        <f t="shared" si="5"/>
        <v>382788</v>
      </c>
    </row>
    <row r="361" spans="1:11" x14ac:dyDescent="0.2">
      <c r="A361" s="32" t="s">
        <v>69</v>
      </c>
      <c r="B361" s="6" t="s">
        <v>124</v>
      </c>
      <c r="C361" s="6">
        <v>488</v>
      </c>
      <c r="D361" s="33">
        <v>5</v>
      </c>
      <c r="E361" s="2">
        <v>7</v>
      </c>
      <c r="F361" s="2">
        <v>3416</v>
      </c>
      <c r="G361" s="3" t="s">
        <v>977</v>
      </c>
      <c r="H361" s="35">
        <v>3142.72</v>
      </c>
      <c r="I361" s="2">
        <v>2440</v>
      </c>
      <c r="J361" s="34">
        <v>41641</v>
      </c>
      <c r="K361">
        <f t="shared" si="5"/>
        <v>3142.72</v>
      </c>
    </row>
    <row r="362" spans="1:11" x14ac:dyDescent="0.2">
      <c r="A362" s="32" t="s">
        <v>88</v>
      </c>
      <c r="B362" s="6" t="s">
        <v>124</v>
      </c>
      <c r="C362" s="6">
        <v>1282</v>
      </c>
      <c r="D362" s="33">
        <v>5</v>
      </c>
      <c r="E362" s="2">
        <v>20</v>
      </c>
      <c r="F362" s="2">
        <v>25640</v>
      </c>
      <c r="G362" s="3" t="s">
        <v>978</v>
      </c>
      <c r="H362" s="35">
        <v>23588.799999999999</v>
      </c>
      <c r="I362" s="2">
        <v>12820</v>
      </c>
      <c r="J362" s="34">
        <v>41645</v>
      </c>
      <c r="K362">
        <f t="shared" si="5"/>
        <v>23588.799999999999</v>
      </c>
    </row>
    <row r="363" spans="1:11" x14ac:dyDescent="0.2">
      <c r="A363" s="32" t="s">
        <v>26</v>
      </c>
      <c r="B363" s="6" t="s">
        <v>124</v>
      </c>
      <c r="C363" s="6">
        <v>257</v>
      </c>
      <c r="D363" s="33">
        <v>10</v>
      </c>
      <c r="E363" s="2">
        <v>7</v>
      </c>
      <c r="F363" s="2">
        <v>1799</v>
      </c>
      <c r="G363" s="3" t="s">
        <v>979</v>
      </c>
      <c r="H363" s="35">
        <v>1655.08</v>
      </c>
      <c r="I363" s="2">
        <v>1285</v>
      </c>
      <c r="J363" s="34">
        <v>41644</v>
      </c>
      <c r="K363">
        <f t="shared" si="5"/>
        <v>1655.08</v>
      </c>
    </row>
    <row r="364" spans="1:11" x14ac:dyDescent="0.2">
      <c r="A364" s="32" t="s">
        <v>54</v>
      </c>
      <c r="B364" s="6" t="s">
        <v>124</v>
      </c>
      <c r="C364" s="6">
        <v>1282</v>
      </c>
      <c r="D364" s="33">
        <v>260</v>
      </c>
      <c r="E364" s="2">
        <v>20</v>
      </c>
      <c r="F364" s="2">
        <v>25640</v>
      </c>
      <c r="G364" s="3" t="s">
        <v>978</v>
      </c>
      <c r="H364" s="35">
        <v>23588.799999999999</v>
      </c>
      <c r="I364" s="2">
        <v>12820</v>
      </c>
      <c r="J364" s="34">
        <v>41645</v>
      </c>
      <c r="K364">
        <f t="shared" si="5"/>
        <v>23588.799999999999</v>
      </c>
    </row>
    <row r="365" spans="1:11" x14ac:dyDescent="0.2">
      <c r="A365" s="32" t="s">
        <v>148</v>
      </c>
      <c r="B365" s="6" t="s">
        <v>124</v>
      </c>
      <c r="C365" s="6">
        <v>1540</v>
      </c>
      <c r="D365" s="33">
        <v>3</v>
      </c>
      <c r="E365" s="2">
        <v>125</v>
      </c>
      <c r="F365" s="2" t="s">
        <v>980</v>
      </c>
      <c r="G365" s="3" t="s">
        <v>981</v>
      </c>
      <c r="H365" s="35" t="s">
        <v>982</v>
      </c>
      <c r="I365" s="2" t="s">
        <v>983</v>
      </c>
      <c r="J365" s="34">
        <v>41647</v>
      </c>
      <c r="K365">
        <f t="shared" si="5"/>
        <v>177100</v>
      </c>
    </row>
    <row r="366" spans="1:11" x14ac:dyDescent="0.2">
      <c r="A366" s="32" t="s">
        <v>14</v>
      </c>
      <c r="B366" s="6" t="s">
        <v>124</v>
      </c>
      <c r="C366" s="6">
        <v>490</v>
      </c>
      <c r="D366" s="33">
        <v>3</v>
      </c>
      <c r="E366" s="2">
        <v>15</v>
      </c>
      <c r="F366" s="2">
        <v>7350</v>
      </c>
      <c r="G366" s="3" t="s">
        <v>984</v>
      </c>
      <c r="H366" s="35">
        <v>6762</v>
      </c>
      <c r="I366" s="2">
        <v>4900</v>
      </c>
      <c r="J366" s="34">
        <v>41650</v>
      </c>
      <c r="K366">
        <f t="shared" si="5"/>
        <v>6762</v>
      </c>
    </row>
    <row r="367" spans="1:11" x14ac:dyDescent="0.2">
      <c r="A367" s="32" t="s">
        <v>60</v>
      </c>
      <c r="B367" s="6" t="s">
        <v>124</v>
      </c>
      <c r="C367" s="6">
        <v>1362</v>
      </c>
      <c r="D367" s="33">
        <v>3</v>
      </c>
      <c r="E367" s="2">
        <v>350</v>
      </c>
      <c r="F367" s="2" t="s">
        <v>985</v>
      </c>
      <c r="G367" s="3" t="s">
        <v>986</v>
      </c>
      <c r="H367" s="35" t="s">
        <v>987</v>
      </c>
      <c r="I367" s="2" t="s">
        <v>988</v>
      </c>
      <c r="J367" s="34">
        <v>41651</v>
      </c>
      <c r="K367">
        <f t="shared" si="5"/>
        <v>438564</v>
      </c>
    </row>
    <row r="368" spans="1:11" x14ac:dyDescent="0.2">
      <c r="A368" s="32" t="s">
        <v>149</v>
      </c>
      <c r="B368" s="6" t="s">
        <v>124</v>
      </c>
      <c r="C368" s="6">
        <v>2501</v>
      </c>
      <c r="D368" s="33">
        <v>5</v>
      </c>
      <c r="E368" s="2">
        <v>15</v>
      </c>
      <c r="F368" s="2">
        <v>37515</v>
      </c>
      <c r="G368" s="3" t="s">
        <v>989</v>
      </c>
      <c r="H368" s="35">
        <v>34513.800000000003</v>
      </c>
      <c r="I368" s="2">
        <v>25010</v>
      </c>
      <c r="J368" s="34">
        <v>41642</v>
      </c>
      <c r="K368">
        <f t="shared" si="5"/>
        <v>34513.800000000003</v>
      </c>
    </row>
    <row r="369" spans="1:11" x14ac:dyDescent="0.2">
      <c r="A369" s="32" t="s">
        <v>69</v>
      </c>
      <c r="B369" s="6" t="s">
        <v>124</v>
      </c>
      <c r="C369" s="6">
        <v>708</v>
      </c>
      <c r="D369" s="33">
        <v>5</v>
      </c>
      <c r="E369" s="2">
        <v>20</v>
      </c>
      <c r="F369" s="2">
        <v>14160</v>
      </c>
      <c r="G369" s="3" t="s">
        <v>990</v>
      </c>
      <c r="H369" s="35">
        <v>13027.2</v>
      </c>
      <c r="I369" s="2">
        <v>7080</v>
      </c>
      <c r="J369" s="34">
        <v>41645</v>
      </c>
      <c r="K369">
        <f t="shared" si="5"/>
        <v>13027.2</v>
      </c>
    </row>
    <row r="370" spans="1:11" x14ac:dyDescent="0.2">
      <c r="A370" s="32" t="s">
        <v>24</v>
      </c>
      <c r="B370" s="6" t="s">
        <v>124</v>
      </c>
      <c r="C370" s="6">
        <v>645</v>
      </c>
      <c r="D370" s="33">
        <v>5</v>
      </c>
      <c r="E370" s="2">
        <v>20</v>
      </c>
      <c r="F370" s="2">
        <v>12900</v>
      </c>
      <c r="G370" s="3" t="s">
        <v>991</v>
      </c>
      <c r="H370" s="35">
        <v>11868</v>
      </c>
      <c r="I370" s="2">
        <v>6450</v>
      </c>
      <c r="J370" s="34">
        <v>41646</v>
      </c>
      <c r="K370">
        <f t="shared" si="5"/>
        <v>11868</v>
      </c>
    </row>
    <row r="371" spans="1:11" x14ac:dyDescent="0.2">
      <c r="A371" s="32" t="s">
        <v>143</v>
      </c>
      <c r="B371" s="6" t="s">
        <v>124</v>
      </c>
      <c r="C371" s="6">
        <v>1562</v>
      </c>
      <c r="D371" s="33">
        <v>5</v>
      </c>
      <c r="E371" s="2">
        <v>300</v>
      </c>
      <c r="F371" s="2" t="s">
        <v>992</v>
      </c>
      <c r="G371" s="3" t="s">
        <v>993</v>
      </c>
      <c r="H371" s="35" t="s">
        <v>994</v>
      </c>
      <c r="I371" s="2" t="s">
        <v>995</v>
      </c>
      <c r="J371" s="34">
        <v>41647</v>
      </c>
      <c r="K371">
        <f t="shared" si="5"/>
        <v>431112</v>
      </c>
    </row>
    <row r="372" spans="1:11" x14ac:dyDescent="0.2">
      <c r="A372" s="32" t="s">
        <v>150</v>
      </c>
      <c r="B372" s="6" t="s">
        <v>124</v>
      </c>
      <c r="C372" s="6">
        <v>1283</v>
      </c>
      <c r="D372" s="33">
        <v>5</v>
      </c>
      <c r="E372" s="2">
        <v>300</v>
      </c>
      <c r="F372" s="2" t="s">
        <v>996</v>
      </c>
      <c r="G372" s="3" t="s">
        <v>997</v>
      </c>
      <c r="H372" s="35" t="s">
        <v>998</v>
      </c>
      <c r="I372" s="2" t="s">
        <v>999</v>
      </c>
      <c r="J372" s="34">
        <v>41283</v>
      </c>
      <c r="K372">
        <f t="shared" si="5"/>
        <v>354108</v>
      </c>
    </row>
    <row r="373" spans="1:11" x14ac:dyDescent="0.2">
      <c r="A373" s="32" t="s">
        <v>17</v>
      </c>
      <c r="B373" s="6" t="s">
        <v>124</v>
      </c>
      <c r="C373" s="6">
        <v>711</v>
      </c>
      <c r="D373" s="33">
        <v>5</v>
      </c>
      <c r="E373" s="2">
        <v>15</v>
      </c>
      <c r="F373" s="2">
        <v>10665</v>
      </c>
      <c r="G373" s="3" t="s">
        <v>1000</v>
      </c>
      <c r="H373" s="35">
        <v>9811.7999999999993</v>
      </c>
      <c r="I373" s="2">
        <v>7110</v>
      </c>
      <c r="J373" s="34">
        <v>41651</v>
      </c>
      <c r="K373">
        <f t="shared" si="5"/>
        <v>9811.7999999999993</v>
      </c>
    </row>
    <row r="374" spans="1:11" x14ac:dyDescent="0.2">
      <c r="A374" s="32" t="s">
        <v>74</v>
      </c>
      <c r="B374" s="6" t="s">
        <v>124</v>
      </c>
      <c r="C374" s="6">
        <v>1114</v>
      </c>
      <c r="D374" s="33">
        <v>10</v>
      </c>
      <c r="E374" s="2">
        <v>125</v>
      </c>
      <c r="F374" s="2" t="s">
        <v>1001</v>
      </c>
      <c r="G374" s="3" t="s">
        <v>1002</v>
      </c>
      <c r="H374" s="35" t="s">
        <v>1003</v>
      </c>
      <c r="I374" s="2" t="s">
        <v>1004</v>
      </c>
      <c r="J374" s="34">
        <v>41642</v>
      </c>
      <c r="K374">
        <f t="shared" si="5"/>
        <v>128110</v>
      </c>
    </row>
    <row r="375" spans="1:11" x14ac:dyDescent="0.2">
      <c r="A375" s="32" t="s">
        <v>29</v>
      </c>
      <c r="B375" s="6" t="s">
        <v>124</v>
      </c>
      <c r="C375" s="6">
        <v>1259</v>
      </c>
      <c r="D375" s="33">
        <v>10</v>
      </c>
      <c r="E375" s="2">
        <v>7</v>
      </c>
      <c r="F375" s="2">
        <v>8813</v>
      </c>
      <c r="G375" s="3" t="s">
        <v>1005</v>
      </c>
      <c r="H375" s="35">
        <v>8107.96</v>
      </c>
      <c r="I375" s="2">
        <v>6295</v>
      </c>
      <c r="J375" s="34">
        <v>41643</v>
      </c>
      <c r="K375">
        <f t="shared" si="5"/>
        <v>8107.96</v>
      </c>
    </row>
    <row r="376" spans="1:11" x14ac:dyDescent="0.2">
      <c r="A376" s="32" t="s">
        <v>29</v>
      </c>
      <c r="B376" s="6" t="s">
        <v>124</v>
      </c>
      <c r="C376" s="6">
        <v>1095</v>
      </c>
      <c r="D376" s="33">
        <v>10</v>
      </c>
      <c r="E376" s="2">
        <v>7</v>
      </c>
      <c r="F376" s="2">
        <v>7665</v>
      </c>
      <c r="G376" s="3" t="s">
        <v>1006</v>
      </c>
      <c r="H376" s="35">
        <v>7051.8</v>
      </c>
      <c r="I376" s="2">
        <v>5475</v>
      </c>
      <c r="J376" s="34">
        <v>41644</v>
      </c>
      <c r="K376">
        <f t="shared" si="5"/>
        <v>7051.8</v>
      </c>
    </row>
    <row r="377" spans="1:11" x14ac:dyDescent="0.2">
      <c r="A377" s="32" t="s">
        <v>29</v>
      </c>
      <c r="B377" s="6" t="s">
        <v>124</v>
      </c>
      <c r="C377" s="6">
        <v>1366</v>
      </c>
      <c r="D377" s="33">
        <v>10</v>
      </c>
      <c r="E377" s="2">
        <v>20</v>
      </c>
      <c r="F377" s="2">
        <v>27320</v>
      </c>
      <c r="G377" s="3" t="s">
        <v>1007</v>
      </c>
      <c r="H377" s="35">
        <v>25134.400000000001</v>
      </c>
      <c r="I377" s="2">
        <v>13660</v>
      </c>
      <c r="J377" s="34">
        <v>41645</v>
      </c>
      <c r="K377">
        <f t="shared" si="5"/>
        <v>25134.400000000001</v>
      </c>
    </row>
    <row r="378" spans="1:11" x14ac:dyDescent="0.2">
      <c r="A378" s="32" t="s">
        <v>33</v>
      </c>
      <c r="B378" s="6" t="s">
        <v>124</v>
      </c>
      <c r="C378" s="6">
        <v>2460</v>
      </c>
      <c r="D378" s="33">
        <v>10</v>
      </c>
      <c r="E378" s="2">
        <v>300</v>
      </c>
      <c r="F378" s="2" t="s">
        <v>1008</v>
      </c>
      <c r="G378" s="3" t="s">
        <v>1009</v>
      </c>
      <c r="H378" s="35" t="s">
        <v>1010</v>
      </c>
      <c r="I378" s="2" t="s">
        <v>1011</v>
      </c>
      <c r="J378" s="34">
        <v>41645</v>
      </c>
      <c r="K378">
        <f t="shared" si="5"/>
        <v>678960</v>
      </c>
    </row>
    <row r="379" spans="1:11" x14ac:dyDescent="0.2">
      <c r="A379" s="32" t="s">
        <v>34</v>
      </c>
      <c r="B379" s="6" t="s">
        <v>124</v>
      </c>
      <c r="C379" s="6">
        <v>678</v>
      </c>
      <c r="D379" s="33">
        <v>10</v>
      </c>
      <c r="E379" s="2">
        <v>7</v>
      </c>
      <c r="F379" s="2">
        <v>4746</v>
      </c>
      <c r="G379" s="3" t="s">
        <v>1012</v>
      </c>
      <c r="H379" s="35">
        <v>4366.32</v>
      </c>
      <c r="I379" s="2">
        <v>3390</v>
      </c>
      <c r="J379" s="34">
        <v>41647</v>
      </c>
      <c r="K379">
        <f t="shared" si="5"/>
        <v>4366.32</v>
      </c>
    </row>
    <row r="380" spans="1:11" x14ac:dyDescent="0.2">
      <c r="A380" s="32" t="s">
        <v>29</v>
      </c>
      <c r="B380" s="6" t="s">
        <v>124</v>
      </c>
      <c r="C380" s="6">
        <v>1598</v>
      </c>
      <c r="D380" s="33">
        <v>10</v>
      </c>
      <c r="E380" s="2">
        <v>7</v>
      </c>
      <c r="F380" s="2">
        <v>11186</v>
      </c>
      <c r="G380" s="3" t="s">
        <v>1013</v>
      </c>
      <c r="H380" s="35">
        <v>10291.120000000001</v>
      </c>
      <c r="I380" s="2">
        <v>7990</v>
      </c>
      <c r="J380" s="34">
        <v>41647</v>
      </c>
      <c r="K380">
        <f t="shared" si="5"/>
        <v>10291.120000000001</v>
      </c>
    </row>
    <row r="381" spans="1:11" x14ac:dyDescent="0.2">
      <c r="A381" s="32" t="s">
        <v>29</v>
      </c>
      <c r="B381" s="6" t="s">
        <v>124</v>
      </c>
      <c r="C381" s="6">
        <v>2409</v>
      </c>
      <c r="D381" s="33">
        <v>10</v>
      </c>
      <c r="E381" s="2">
        <v>7</v>
      </c>
      <c r="F381" s="2">
        <v>16863</v>
      </c>
      <c r="G381" s="3" t="s">
        <v>1014</v>
      </c>
      <c r="H381" s="35">
        <v>15513.96</v>
      </c>
      <c r="I381" s="2">
        <v>12045</v>
      </c>
      <c r="J381" s="34">
        <v>41283</v>
      </c>
      <c r="K381">
        <f t="shared" si="5"/>
        <v>15513.96</v>
      </c>
    </row>
    <row r="382" spans="1:11" x14ac:dyDescent="0.2">
      <c r="A382" s="32" t="s">
        <v>29</v>
      </c>
      <c r="B382" s="6" t="s">
        <v>124</v>
      </c>
      <c r="C382" s="6">
        <v>1934</v>
      </c>
      <c r="D382" s="33">
        <v>10</v>
      </c>
      <c r="E382" s="2">
        <v>20</v>
      </c>
      <c r="F382" s="2">
        <v>38680</v>
      </c>
      <c r="G382" s="3" t="s">
        <v>1015</v>
      </c>
      <c r="H382" s="35">
        <v>35585.599999999999</v>
      </c>
      <c r="I382" s="2">
        <v>19340</v>
      </c>
      <c r="J382" s="34">
        <v>41648</v>
      </c>
      <c r="K382">
        <f t="shared" si="5"/>
        <v>35585.599999999999</v>
      </c>
    </row>
    <row r="383" spans="1:11" x14ac:dyDescent="0.2">
      <c r="A383" s="32" t="s">
        <v>31</v>
      </c>
      <c r="B383" s="6" t="s">
        <v>124</v>
      </c>
      <c r="C383" s="6">
        <v>2993</v>
      </c>
      <c r="D383" s="33">
        <v>10</v>
      </c>
      <c r="E383" s="2">
        <v>20</v>
      </c>
      <c r="F383" s="2">
        <v>59860</v>
      </c>
      <c r="G383" s="3" t="s">
        <v>1016</v>
      </c>
      <c r="H383" s="35">
        <v>55071.199999999997</v>
      </c>
      <c r="I383" s="2">
        <v>29930</v>
      </c>
      <c r="J383" s="34">
        <v>41648</v>
      </c>
      <c r="K383">
        <f t="shared" si="5"/>
        <v>55071.199999999997</v>
      </c>
    </row>
    <row r="384" spans="1:11" x14ac:dyDescent="0.2">
      <c r="A384" s="32" t="s">
        <v>29</v>
      </c>
      <c r="B384" s="6" t="s">
        <v>124</v>
      </c>
      <c r="C384" s="6">
        <v>2146</v>
      </c>
      <c r="D384" s="33">
        <v>10</v>
      </c>
      <c r="E384" s="2">
        <v>350</v>
      </c>
      <c r="F384" s="2" t="s">
        <v>1017</v>
      </c>
      <c r="G384" s="3" t="s">
        <v>1018</v>
      </c>
      <c r="H384" s="35" t="s">
        <v>1019</v>
      </c>
      <c r="I384" s="2" t="s">
        <v>1020</v>
      </c>
      <c r="J384" s="34">
        <v>41285</v>
      </c>
      <c r="K384">
        <f t="shared" si="5"/>
        <v>691012</v>
      </c>
    </row>
    <row r="385" spans="1:11" x14ac:dyDescent="0.2">
      <c r="A385" s="32" t="s">
        <v>31</v>
      </c>
      <c r="B385" s="6" t="s">
        <v>124</v>
      </c>
      <c r="C385" s="6">
        <v>1946</v>
      </c>
      <c r="D385" s="33">
        <v>10</v>
      </c>
      <c r="E385" s="2">
        <v>7</v>
      </c>
      <c r="F385" s="2">
        <v>13622</v>
      </c>
      <c r="G385" s="3" t="s">
        <v>1021</v>
      </c>
      <c r="H385" s="35">
        <v>12532.24</v>
      </c>
      <c r="I385" s="2">
        <v>9730</v>
      </c>
      <c r="J385" s="34">
        <v>41286</v>
      </c>
      <c r="K385">
        <f t="shared" si="5"/>
        <v>12532.24</v>
      </c>
    </row>
    <row r="386" spans="1:11" x14ac:dyDescent="0.2">
      <c r="A386" s="32" t="s">
        <v>31</v>
      </c>
      <c r="B386" s="6" t="s">
        <v>124</v>
      </c>
      <c r="C386" s="6">
        <v>1362</v>
      </c>
      <c r="D386" s="33">
        <v>10</v>
      </c>
      <c r="E386" s="2">
        <v>350</v>
      </c>
      <c r="F386" s="2" t="s">
        <v>985</v>
      </c>
      <c r="G386" s="3" t="s">
        <v>986</v>
      </c>
      <c r="H386" s="35" t="s">
        <v>987</v>
      </c>
      <c r="I386" s="2" t="s">
        <v>988</v>
      </c>
      <c r="J386" s="34">
        <v>41651</v>
      </c>
      <c r="K386">
        <f t="shared" si="5"/>
        <v>438564</v>
      </c>
    </row>
    <row r="387" spans="1:11" x14ac:dyDescent="0.2">
      <c r="A387" s="32" t="s">
        <v>125</v>
      </c>
      <c r="B387" s="6" t="s">
        <v>124</v>
      </c>
      <c r="C387" s="6">
        <v>598</v>
      </c>
      <c r="D387" s="33">
        <v>120</v>
      </c>
      <c r="E387" s="2">
        <v>12</v>
      </c>
      <c r="F387" s="2">
        <v>7176</v>
      </c>
      <c r="G387" s="3" t="s">
        <v>1022</v>
      </c>
      <c r="H387" s="35">
        <v>6601.92</v>
      </c>
      <c r="I387" s="2">
        <v>1794</v>
      </c>
      <c r="J387" s="34">
        <v>41642</v>
      </c>
      <c r="K387">
        <f t="shared" si="5"/>
        <v>6601.92</v>
      </c>
    </row>
    <row r="388" spans="1:11" x14ac:dyDescent="0.2">
      <c r="A388" s="32" t="s">
        <v>98</v>
      </c>
      <c r="B388" s="6" t="s">
        <v>124</v>
      </c>
      <c r="C388" s="6">
        <v>2907</v>
      </c>
      <c r="D388" s="33">
        <v>120</v>
      </c>
      <c r="E388" s="2">
        <v>7</v>
      </c>
      <c r="F388" s="2">
        <v>20349</v>
      </c>
      <c r="G388" s="3" t="s">
        <v>1023</v>
      </c>
      <c r="H388" s="35">
        <v>18721.080000000002</v>
      </c>
      <c r="I388" s="2">
        <v>14535</v>
      </c>
      <c r="J388" s="34">
        <v>41645</v>
      </c>
      <c r="K388">
        <f t="shared" si="5"/>
        <v>18721.080000000002</v>
      </c>
    </row>
    <row r="389" spans="1:11" x14ac:dyDescent="0.2">
      <c r="A389" s="32" t="s">
        <v>40</v>
      </c>
      <c r="B389" s="6" t="s">
        <v>124</v>
      </c>
      <c r="C389" s="6">
        <v>2338</v>
      </c>
      <c r="D389" s="33">
        <v>120</v>
      </c>
      <c r="E389" s="2">
        <v>7</v>
      </c>
      <c r="F389" s="2">
        <v>16366</v>
      </c>
      <c r="G389" s="3" t="s">
        <v>1024</v>
      </c>
      <c r="H389" s="35">
        <v>15056.72</v>
      </c>
      <c r="I389" s="2">
        <v>11690</v>
      </c>
      <c r="J389" s="34">
        <v>41645</v>
      </c>
      <c r="K389">
        <f t="shared" ref="K389:K452" si="6">_xlfn.NUMBERVALUE(SUBSTITUTE(H389," $","",1))</f>
        <v>15056.72</v>
      </c>
    </row>
    <row r="390" spans="1:11" x14ac:dyDescent="0.2">
      <c r="A390" s="32" t="s">
        <v>137</v>
      </c>
      <c r="B390" s="6" t="s">
        <v>124</v>
      </c>
      <c r="C390" s="6">
        <v>386</v>
      </c>
      <c r="D390" s="33">
        <v>120</v>
      </c>
      <c r="E390" s="2">
        <v>300</v>
      </c>
      <c r="F390" s="2" t="s">
        <v>1025</v>
      </c>
      <c r="G390" s="3" t="s">
        <v>1026</v>
      </c>
      <c r="H390" s="35" t="s">
        <v>1027</v>
      </c>
      <c r="I390" s="2">
        <v>96500</v>
      </c>
      <c r="J390" s="34">
        <v>41285</v>
      </c>
      <c r="K390">
        <f t="shared" si="6"/>
        <v>106536</v>
      </c>
    </row>
    <row r="391" spans="1:11" x14ac:dyDescent="0.2">
      <c r="A391" s="32" t="s">
        <v>151</v>
      </c>
      <c r="B391" s="6" t="s">
        <v>124</v>
      </c>
      <c r="C391" s="6">
        <v>635</v>
      </c>
      <c r="D391" s="33">
        <v>120</v>
      </c>
      <c r="E391" s="2">
        <v>300</v>
      </c>
      <c r="F391" s="2" t="s">
        <v>1028</v>
      </c>
      <c r="G391" s="3" t="s">
        <v>1029</v>
      </c>
      <c r="H391" s="35" t="s">
        <v>1030</v>
      </c>
      <c r="I391" s="2" t="s">
        <v>1031</v>
      </c>
      <c r="J391" s="34">
        <v>41651</v>
      </c>
      <c r="K391">
        <f t="shared" si="6"/>
        <v>175260</v>
      </c>
    </row>
    <row r="392" spans="1:11" x14ac:dyDescent="0.2">
      <c r="A392" s="32" t="s">
        <v>47</v>
      </c>
      <c r="B392" s="6" t="s">
        <v>124</v>
      </c>
      <c r="C392" s="6">
        <v>574.5</v>
      </c>
      <c r="D392" s="33">
        <v>250</v>
      </c>
      <c r="E392" s="2">
        <v>350</v>
      </c>
      <c r="F392" s="2" t="s">
        <v>1032</v>
      </c>
      <c r="G392" s="3" t="s">
        <v>1033</v>
      </c>
      <c r="H392" s="35" t="s">
        <v>1034</v>
      </c>
      <c r="I392" s="2" t="s">
        <v>1035</v>
      </c>
      <c r="J392" s="34">
        <v>41643</v>
      </c>
      <c r="K392">
        <f t="shared" si="6"/>
        <v>184989</v>
      </c>
    </row>
    <row r="393" spans="1:11" x14ac:dyDescent="0.2">
      <c r="A393" s="32" t="s">
        <v>78</v>
      </c>
      <c r="B393" s="6" t="s">
        <v>124</v>
      </c>
      <c r="C393" s="6">
        <v>2338</v>
      </c>
      <c r="D393" s="33">
        <v>250</v>
      </c>
      <c r="E393" s="2">
        <v>7</v>
      </c>
      <c r="F393" s="2">
        <v>16366</v>
      </c>
      <c r="G393" s="3" t="s">
        <v>1024</v>
      </c>
      <c r="H393" s="35">
        <v>15056.72</v>
      </c>
      <c r="I393" s="2">
        <v>11690</v>
      </c>
      <c r="J393" s="34">
        <v>41645</v>
      </c>
      <c r="K393">
        <f t="shared" si="6"/>
        <v>15056.72</v>
      </c>
    </row>
    <row r="394" spans="1:11" x14ac:dyDescent="0.2">
      <c r="A394" s="32" t="s">
        <v>47</v>
      </c>
      <c r="B394" s="6" t="s">
        <v>124</v>
      </c>
      <c r="C394" s="6">
        <v>381</v>
      </c>
      <c r="D394" s="33">
        <v>250</v>
      </c>
      <c r="E394" s="2">
        <v>350</v>
      </c>
      <c r="F394" s="2" t="s">
        <v>1036</v>
      </c>
      <c r="G394" s="3" t="s">
        <v>1037</v>
      </c>
      <c r="H394" s="35" t="s">
        <v>1038</v>
      </c>
      <c r="I394" s="2">
        <v>99060</v>
      </c>
      <c r="J394" s="34">
        <v>41647</v>
      </c>
      <c r="K394">
        <f t="shared" si="6"/>
        <v>122682</v>
      </c>
    </row>
    <row r="395" spans="1:11" x14ac:dyDescent="0.2">
      <c r="A395" s="32" t="s">
        <v>78</v>
      </c>
      <c r="B395" s="6" t="s">
        <v>124</v>
      </c>
      <c r="C395" s="6">
        <v>422</v>
      </c>
      <c r="D395" s="33">
        <v>250</v>
      </c>
      <c r="E395" s="2">
        <v>350</v>
      </c>
      <c r="F395" s="2" t="s">
        <v>1039</v>
      </c>
      <c r="G395" s="3" t="s">
        <v>1040</v>
      </c>
      <c r="H395" s="35" t="s">
        <v>1041</v>
      </c>
      <c r="I395" s="2" t="s">
        <v>1042</v>
      </c>
      <c r="J395" s="34">
        <v>41647</v>
      </c>
      <c r="K395">
        <f t="shared" si="6"/>
        <v>135884</v>
      </c>
    </row>
    <row r="396" spans="1:11" x14ac:dyDescent="0.2">
      <c r="A396" s="32" t="s">
        <v>43</v>
      </c>
      <c r="B396" s="6" t="s">
        <v>124</v>
      </c>
      <c r="C396" s="6">
        <v>2134</v>
      </c>
      <c r="D396" s="33">
        <v>250</v>
      </c>
      <c r="E396" s="2">
        <v>300</v>
      </c>
      <c r="F396" s="2" t="s">
        <v>1043</v>
      </c>
      <c r="G396" s="3" t="s">
        <v>1044</v>
      </c>
      <c r="H396" s="35" t="s">
        <v>1045</v>
      </c>
      <c r="I396" s="2" t="s">
        <v>1046</v>
      </c>
      <c r="J396" s="34">
        <v>41648</v>
      </c>
      <c r="K396">
        <f t="shared" si="6"/>
        <v>588984</v>
      </c>
    </row>
    <row r="397" spans="1:11" x14ac:dyDescent="0.2">
      <c r="A397" s="32" t="s">
        <v>113</v>
      </c>
      <c r="B397" s="6" t="s">
        <v>124</v>
      </c>
      <c r="C397" s="6">
        <v>808</v>
      </c>
      <c r="D397" s="33">
        <v>250</v>
      </c>
      <c r="E397" s="2">
        <v>300</v>
      </c>
      <c r="F397" s="2" t="s">
        <v>1047</v>
      </c>
      <c r="G397" s="3" t="s">
        <v>1048</v>
      </c>
      <c r="H397" s="35" t="s">
        <v>1049</v>
      </c>
      <c r="I397" s="2" t="s">
        <v>1050</v>
      </c>
      <c r="J397" s="34">
        <v>41286</v>
      </c>
      <c r="K397">
        <f t="shared" si="6"/>
        <v>223008</v>
      </c>
    </row>
    <row r="398" spans="1:11" x14ac:dyDescent="0.2">
      <c r="A398" s="32" t="s">
        <v>123</v>
      </c>
      <c r="B398" s="6" t="s">
        <v>124</v>
      </c>
      <c r="C398" s="6">
        <v>708</v>
      </c>
      <c r="D398" s="33">
        <v>260</v>
      </c>
      <c r="E398" s="2">
        <v>20</v>
      </c>
      <c r="F398" s="2">
        <v>14160</v>
      </c>
      <c r="G398" s="3" t="s">
        <v>990</v>
      </c>
      <c r="H398" s="35">
        <v>13027.2</v>
      </c>
      <c r="I398" s="2">
        <v>7080</v>
      </c>
      <c r="J398" s="34">
        <v>41645</v>
      </c>
      <c r="K398">
        <f t="shared" si="6"/>
        <v>13027.2</v>
      </c>
    </row>
    <row r="399" spans="1:11" x14ac:dyDescent="0.2">
      <c r="A399" s="32" t="s">
        <v>54</v>
      </c>
      <c r="B399" s="6" t="s">
        <v>124</v>
      </c>
      <c r="C399" s="6">
        <v>2907</v>
      </c>
      <c r="D399" s="33">
        <v>260</v>
      </c>
      <c r="E399" s="2">
        <v>7</v>
      </c>
      <c r="F399" s="2">
        <v>20349</v>
      </c>
      <c r="G399" s="3" t="s">
        <v>1023</v>
      </c>
      <c r="H399" s="35">
        <v>18721.080000000002</v>
      </c>
      <c r="I399" s="2">
        <v>14535</v>
      </c>
      <c r="J399" s="34">
        <v>41645</v>
      </c>
      <c r="K399">
        <f t="shared" si="6"/>
        <v>18721.080000000002</v>
      </c>
    </row>
    <row r="400" spans="1:11" x14ac:dyDescent="0.2">
      <c r="A400" s="32" t="s">
        <v>53</v>
      </c>
      <c r="B400" s="6" t="s">
        <v>124</v>
      </c>
      <c r="C400" s="6">
        <v>1366</v>
      </c>
      <c r="D400" s="33">
        <v>260</v>
      </c>
      <c r="E400" s="2">
        <v>20</v>
      </c>
      <c r="F400" s="2">
        <v>27320</v>
      </c>
      <c r="G400" s="3" t="s">
        <v>1007</v>
      </c>
      <c r="H400" s="35">
        <v>25134.400000000001</v>
      </c>
      <c r="I400" s="2">
        <v>13660</v>
      </c>
      <c r="J400" s="34">
        <v>41645</v>
      </c>
      <c r="K400">
        <f t="shared" si="6"/>
        <v>25134.400000000001</v>
      </c>
    </row>
    <row r="401" spans="1:11" x14ac:dyDescent="0.2">
      <c r="A401" s="32" t="s">
        <v>107</v>
      </c>
      <c r="B401" s="6" t="s">
        <v>124</v>
      </c>
      <c r="C401" s="6">
        <v>2460</v>
      </c>
      <c r="D401" s="33">
        <v>260</v>
      </c>
      <c r="E401" s="2">
        <v>300</v>
      </c>
      <c r="F401" s="2" t="s">
        <v>1008</v>
      </c>
      <c r="G401" s="3" t="s">
        <v>1009</v>
      </c>
      <c r="H401" s="35" t="s">
        <v>1010</v>
      </c>
      <c r="I401" s="2" t="s">
        <v>1011</v>
      </c>
      <c r="J401" s="34">
        <v>41645</v>
      </c>
      <c r="K401">
        <f t="shared" si="6"/>
        <v>678960</v>
      </c>
    </row>
    <row r="402" spans="1:11" x14ac:dyDescent="0.2">
      <c r="A402" s="32" t="s">
        <v>53</v>
      </c>
      <c r="B402" s="6" t="s">
        <v>124</v>
      </c>
      <c r="C402" s="6">
        <v>1520</v>
      </c>
      <c r="D402" s="33">
        <v>260</v>
      </c>
      <c r="E402" s="2">
        <v>20</v>
      </c>
      <c r="F402" s="2">
        <v>30400</v>
      </c>
      <c r="G402" s="3" t="s">
        <v>1051</v>
      </c>
      <c r="H402" s="35">
        <v>27968</v>
      </c>
      <c r="I402" s="2">
        <v>15200</v>
      </c>
      <c r="J402" s="34">
        <v>41650</v>
      </c>
      <c r="K402">
        <f t="shared" si="6"/>
        <v>27968</v>
      </c>
    </row>
    <row r="403" spans="1:11" x14ac:dyDescent="0.2">
      <c r="A403" s="32" t="s">
        <v>152</v>
      </c>
      <c r="B403" s="6" t="s">
        <v>124</v>
      </c>
      <c r="C403" s="6">
        <v>711</v>
      </c>
      <c r="D403" s="33">
        <v>260</v>
      </c>
      <c r="E403" s="2">
        <v>15</v>
      </c>
      <c r="F403" s="2">
        <v>10665</v>
      </c>
      <c r="G403" s="3" t="s">
        <v>1000</v>
      </c>
      <c r="H403" s="35">
        <v>9811.7999999999993</v>
      </c>
      <c r="I403" s="2">
        <v>7110</v>
      </c>
      <c r="J403" s="34">
        <v>41651</v>
      </c>
      <c r="K403">
        <f t="shared" si="6"/>
        <v>9811.7999999999993</v>
      </c>
    </row>
    <row r="404" spans="1:11" x14ac:dyDescent="0.2">
      <c r="A404" s="32" t="s">
        <v>126</v>
      </c>
      <c r="B404" s="6" t="s">
        <v>124</v>
      </c>
      <c r="C404" s="6">
        <v>1375</v>
      </c>
      <c r="D404" s="33">
        <v>260</v>
      </c>
      <c r="E404" s="2">
        <v>12</v>
      </c>
      <c r="F404" s="2">
        <v>16500</v>
      </c>
      <c r="G404" s="3" t="s">
        <v>1052</v>
      </c>
      <c r="H404" s="35">
        <v>15180</v>
      </c>
      <c r="I404" s="2">
        <v>4125</v>
      </c>
      <c r="J404" s="34">
        <v>41286</v>
      </c>
      <c r="K404">
        <f t="shared" si="6"/>
        <v>15180</v>
      </c>
    </row>
    <row r="405" spans="1:11" x14ac:dyDescent="0.2">
      <c r="A405" s="32" t="s">
        <v>107</v>
      </c>
      <c r="B405" s="6" t="s">
        <v>124</v>
      </c>
      <c r="C405" s="6">
        <v>635</v>
      </c>
      <c r="D405" s="33">
        <v>260</v>
      </c>
      <c r="E405" s="2">
        <v>300</v>
      </c>
      <c r="F405" s="2" t="s">
        <v>1028</v>
      </c>
      <c r="G405" s="3" t="s">
        <v>1029</v>
      </c>
      <c r="H405" s="35" t="s">
        <v>1030</v>
      </c>
      <c r="I405" s="2" t="s">
        <v>1031</v>
      </c>
      <c r="J405" s="34">
        <v>41651</v>
      </c>
      <c r="K405">
        <f t="shared" si="6"/>
        <v>175260</v>
      </c>
    </row>
    <row r="406" spans="1:11" x14ac:dyDescent="0.2">
      <c r="A406" s="32" t="s">
        <v>105</v>
      </c>
      <c r="B406" s="6" t="s">
        <v>124</v>
      </c>
      <c r="C406" s="6">
        <v>436.5</v>
      </c>
      <c r="D406" s="33">
        <v>250</v>
      </c>
      <c r="E406" s="2">
        <v>20</v>
      </c>
      <c r="F406" s="2">
        <v>8730</v>
      </c>
      <c r="G406" s="3" t="s">
        <v>1053</v>
      </c>
      <c r="H406" s="35">
        <v>8031.6</v>
      </c>
      <c r="I406" s="2">
        <v>4365</v>
      </c>
      <c r="J406" s="34">
        <v>41646</v>
      </c>
      <c r="K406">
        <f t="shared" si="6"/>
        <v>8031.6</v>
      </c>
    </row>
    <row r="407" spans="1:11" x14ac:dyDescent="0.2">
      <c r="A407" s="32" t="s">
        <v>153</v>
      </c>
      <c r="B407" s="6" t="s">
        <v>124</v>
      </c>
      <c r="C407" s="6">
        <v>1094</v>
      </c>
      <c r="D407" s="33">
        <v>3</v>
      </c>
      <c r="E407" s="2">
        <v>300</v>
      </c>
      <c r="F407" s="2" t="s">
        <v>1054</v>
      </c>
      <c r="G407" s="3" t="s">
        <v>1055</v>
      </c>
      <c r="H407" s="35" t="s">
        <v>1056</v>
      </c>
      <c r="I407" s="2" t="s">
        <v>1057</v>
      </c>
      <c r="J407" s="34">
        <v>41645</v>
      </c>
      <c r="K407">
        <f t="shared" si="6"/>
        <v>298662</v>
      </c>
    </row>
    <row r="408" spans="1:11" x14ac:dyDescent="0.2">
      <c r="A408" s="32" t="s">
        <v>133</v>
      </c>
      <c r="B408" s="6" t="s">
        <v>124</v>
      </c>
      <c r="C408" s="6">
        <v>367</v>
      </c>
      <c r="D408" s="33">
        <v>3</v>
      </c>
      <c r="E408" s="2">
        <v>12</v>
      </c>
      <c r="F408" s="2">
        <v>4404</v>
      </c>
      <c r="G408" s="3" t="s">
        <v>1058</v>
      </c>
      <c r="H408" s="35">
        <v>4007.64</v>
      </c>
      <c r="I408" s="2">
        <v>1101</v>
      </c>
      <c r="J408" s="34">
        <v>41284</v>
      </c>
      <c r="K408">
        <f t="shared" si="6"/>
        <v>4007.64</v>
      </c>
    </row>
    <row r="409" spans="1:11" x14ac:dyDescent="0.2">
      <c r="A409" s="32" t="s">
        <v>150</v>
      </c>
      <c r="B409" s="6" t="s">
        <v>124</v>
      </c>
      <c r="C409" s="6">
        <v>3802.5</v>
      </c>
      <c r="D409" s="33">
        <v>5</v>
      </c>
      <c r="E409" s="2">
        <v>300</v>
      </c>
      <c r="F409" s="2" t="s">
        <v>1059</v>
      </c>
      <c r="G409" s="3" t="s">
        <v>1060</v>
      </c>
      <c r="H409" s="35" t="s">
        <v>1061</v>
      </c>
      <c r="I409" s="2" t="s">
        <v>1062</v>
      </c>
      <c r="J409" s="34">
        <v>41643</v>
      </c>
      <c r="K409">
        <f t="shared" si="6"/>
        <v>1038082.5</v>
      </c>
    </row>
    <row r="410" spans="1:11" x14ac:dyDescent="0.2">
      <c r="A410" s="32" t="s">
        <v>19</v>
      </c>
      <c r="B410" s="6" t="s">
        <v>124</v>
      </c>
      <c r="C410" s="6">
        <v>1666</v>
      </c>
      <c r="D410" s="33">
        <v>5</v>
      </c>
      <c r="E410" s="2">
        <v>350</v>
      </c>
      <c r="F410" s="2" t="s">
        <v>1063</v>
      </c>
      <c r="G410" s="3" t="s">
        <v>1064</v>
      </c>
      <c r="H410" s="35" t="s">
        <v>1065</v>
      </c>
      <c r="I410" s="2" t="s">
        <v>1066</v>
      </c>
      <c r="J410" s="34">
        <v>41644</v>
      </c>
      <c r="K410">
        <f t="shared" si="6"/>
        <v>530621</v>
      </c>
    </row>
    <row r="411" spans="1:11" x14ac:dyDescent="0.2">
      <c r="A411" s="32" t="s">
        <v>143</v>
      </c>
      <c r="B411" s="6" t="s">
        <v>124</v>
      </c>
      <c r="C411" s="6">
        <v>322</v>
      </c>
      <c r="D411" s="33">
        <v>5</v>
      </c>
      <c r="E411" s="2">
        <v>300</v>
      </c>
      <c r="F411" s="2">
        <v>96600</v>
      </c>
      <c r="G411" s="3" t="s">
        <v>1067</v>
      </c>
      <c r="H411" s="35">
        <v>87906</v>
      </c>
      <c r="I411" s="2">
        <v>80500</v>
      </c>
      <c r="J411" s="34">
        <v>41283</v>
      </c>
      <c r="K411">
        <f t="shared" si="6"/>
        <v>87906</v>
      </c>
    </row>
    <row r="412" spans="1:11" x14ac:dyDescent="0.2">
      <c r="A412" s="32" t="s">
        <v>18</v>
      </c>
      <c r="B412" s="6" t="s">
        <v>124</v>
      </c>
      <c r="C412" s="6">
        <v>2321</v>
      </c>
      <c r="D412" s="33">
        <v>5</v>
      </c>
      <c r="E412" s="2">
        <v>12</v>
      </c>
      <c r="F412" s="2">
        <v>27852</v>
      </c>
      <c r="G412" s="3" t="s">
        <v>1068</v>
      </c>
      <c r="H412" s="35">
        <v>25345.32</v>
      </c>
      <c r="I412" s="2">
        <v>6963</v>
      </c>
      <c r="J412" s="34">
        <v>41650</v>
      </c>
      <c r="K412">
        <f t="shared" si="6"/>
        <v>25345.32</v>
      </c>
    </row>
    <row r="413" spans="1:11" x14ac:dyDescent="0.2">
      <c r="A413" s="32" t="s">
        <v>111</v>
      </c>
      <c r="B413" s="6" t="s">
        <v>124</v>
      </c>
      <c r="C413" s="6">
        <v>1857</v>
      </c>
      <c r="D413" s="33">
        <v>5</v>
      </c>
      <c r="E413" s="2">
        <v>125</v>
      </c>
      <c r="F413" s="2" t="s">
        <v>1069</v>
      </c>
      <c r="G413" s="3" t="s">
        <v>1070</v>
      </c>
      <c r="H413" s="35" t="s">
        <v>1071</v>
      </c>
      <c r="I413" s="2" t="s">
        <v>1072</v>
      </c>
      <c r="J413" s="34">
        <v>41285</v>
      </c>
      <c r="K413">
        <f t="shared" si="6"/>
        <v>211233.75</v>
      </c>
    </row>
    <row r="414" spans="1:11" x14ac:dyDescent="0.2">
      <c r="A414" s="32" t="s">
        <v>69</v>
      </c>
      <c r="B414" s="6" t="s">
        <v>124</v>
      </c>
      <c r="C414" s="6">
        <v>1611</v>
      </c>
      <c r="D414" s="33">
        <v>5</v>
      </c>
      <c r="E414" s="2">
        <v>7</v>
      </c>
      <c r="F414" s="2">
        <v>11277</v>
      </c>
      <c r="G414" s="3" t="s">
        <v>1073</v>
      </c>
      <c r="H414" s="35">
        <v>10262.07</v>
      </c>
      <c r="I414" s="2">
        <v>8055</v>
      </c>
      <c r="J414" s="34">
        <v>41286</v>
      </c>
      <c r="K414">
        <f t="shared" si="6"/>
        <v>10262.07</v>
      </c>
    </row>
    <row r="415" spans="1:11" x14ac:dyDescent="0.2">
      <c r="A415" s="32" t="s">
        <v>70</v>
      </c>
      <c r="B415" s="6" t="s">
        <v>124</v>
      </c>
      <c r="C415" s="6">
        <v>2797</v>
      </c>
      <c r="D415" s="33">
        <v>5</v>
      </c>
      <c r="E415" s="2">
        <v>125</v>
      </c>
      <c r="F415" s="2" t="s">
        <v>1074</v>
      </c>
      <c r="G415" s="3" t="s">
        <v>1075</v>
      </c>
      <c r="H415" s="35" t="s">
        <v>1076</v>
      </c>
      <c r="I415" s="2" t="s">
        <v>1077</v>
      </c>
      <c r="J415" s="34">
        <v>41651</v>
      </c>
      <c r="K415">
        <f t="shared" si="6"/>
        <v>318158.75</v>
      </c>
    </row>
    <row r="416" spans="1:11" x14ac:dyDescent="0.2">
      <c r="A416" s="32" t="s">
        <v>117</v>
      </c>
      <c r="B416" s="6" t="s">
        <v>124</v>
      </c>
      <c r="C416" s="6">
        <v>334</v>
      </c>
      <c r="D416" s="33">
        <v>5</v>
      </c>
      <c r="E416" s="2">
        <v>300</v>
      </c>
      <c r="F416" s="2" t="s">
        <v>1078</v>
      </c>
      <c r="G416" s="3" t="s">
        <v>1079</v>
      </c>
      <c r="H416" s="35">
        <v>91182</v>
      </c>
      <c r="I416" s="2">
        <v>83500</v>
      </c>
      <c r="J416" s="34">
        <v>41286</v>
      </c>
      <c r="K416">
        <f t="shared" si="6"/>
        <v>91182</v>
      </c>
    </row>
    <row r="417" spans="1:11" x14ac:dyDescent="0.2">
      <c r="A417" s="32" t="s">
        <v>33</v>
      </c>
      <c r="B417" s="6" t="s">
        <v>124</v>
      </c>
      <c r="C417" s="6">
        <v>2565</v>
      </c>
      <c r="D417" s="33">
        <v>10</v>
      </c>
      <c r="E417" s="2">
        <v>300</v>
      </c>
      <c r="F417" s="2" t="s">
        <v>1080</v>
      </c>
      <c r="G417" s="3" t="s">
        <v>1081</v>
      </c>
      <c r="H417" s="35" t="s">
        <v>1082</v>
      </c>
      <c r="I417" s="2" t="s">
        <v>1083</v>
      </c>
      <c r="J417" s="34">
        <v>41640</v>
      </c>
      <c r="K417">
        <f t="shared" si="6"/>
        <v>700245</v>
      </c>
    </row>
    <row r="418" spans="1:11" x14ac:dyDescent="0.2">
      <c r="A418" s="32" t="s">
        <v>31</v>
      </c>
      <c r="B418" s="6" t="s">
        <v>124</v>
      </c>
      <c r="C418" s="6">
        <v>2417</v>
      </c>
      <c r="D418" s="33">
        <v>10</v>
      </c>
      <c r="E418" s="2">
        <v>350</v>
      </c>
      <c r="F418" s="2" t="s">
        <v>1084</v>
      </c>
      <c r="G418" s="3" t="s">
        <v>1085</v>
      </c>
      <c r="H418" s="35" t="s">
        <v>1086</v>
      </c>
      <c r="I418" s="2" t="s">
        <v>1087</v>
      </c>
      <c r="J418" s="34">
        <v>41640</v>
      </c>
      <c r="K418">
        <f t="shared" si="6"/>
        <v>769814.5</v>
      </c>
    </row>
    <row r="419" spans="1:11" x14ac:dyDescent="0.2">
      <c r="A419" s="32" t="s">
        <v>71</v>
      </c>
      <c r="B419" s="6" t="s">
        <v>124</v>
      </c>
      <c r="C419" s="6">
        <v>3675</v>
      </c>
      <c r="D419" s="33">
        <v>10</v>
      </c>
      <c r="E419" s="2">
        <v>15</v>
      </c>
      <c r="F419" s="2">
        <v>55125</v>
      </c>
      <c r="G419" s="3" t="s">
        <v>1088</v>
      </c>
      <c r="H419" s="35">
        <v>50163.75</v>
      </c>
      <c r="I419" s="2">
        <v>36750</v>
      </c>
      <c r="J419" s="34">
        <v>41643</v>
      </c>
      <c r="K419">
        <f t="shared" si="6"/>
        <v>50163.75</v>
      </c>
    </row>
    <row r="420" spans="1:11" x14ac:dyDescent="0.2">
      <c r="A420" s="32" t="s">
        <v>95</v>
      </c>
      <c r="B420" s="6" t="s">
        <v>124</v>
      </c>
      <c r="C420" s="6">
        <v>1094</v>
      </c>
      <c r="D420" s="33">
        <v>10</v>
      </c>
      <c r="E420" s="2">
        <v>300</v>
      </c>
      <c r="F420" s="2" t="s">
        <v>1054</v>
      </c>
      <c r="G420" s="3" t="s">
        <v>1055</v>
      </c>
      <c r="H420" s="35" t="s">
        <v>1056</v>
      </c>
      <c r="I420" s="2" t="s">
        <v>1057</v>
      </c>
      <c r="J420" s="34">
        <v>41645</v>
      </c>
      <c r="K420">
        <f t="shared" si="6"/>
        <v>298662</v>
      </c>
    </row>
    <row r="421" spans="1:11" x14ac:dyDescent="0.2">
      <c r="A421" s="32" t="s">
        <v>32</v>
      </c>
      <c r="B421" s="6" t="s">
        <v>124</v>
      </c>
      <c r="C421" s="6">
        <v>1227</v>
      </c>
      <c r="D421" s="33">
        <v>10</v>
      </c>
      <c r="E421" s="2">
        <v>15</v>
      </c>
      <c r="F421" s="2">
        <v>18405</v>
      </c>
      <c r="G421" s="3" t="s">
        <v>1089</v>
      </c>
      <c r="H421" s="35">
        <v>16748.55</v>
      </c>
      <c r="I421" s="2">
        <v>12270</v>
      </c>
      <c r="J421" s="34">
        <v>41649</v>
      </c>
      <c r="K421">
        <f t="shared" si="6"/>
        <v>16748.55</v>
      </c>
    </row>
    <row r="422" spans="1:11" x14ac:dyDescent="0.2">
      <c r="A422" s="32" t="s">
        <v>97</v>
      </c>
      <c r="B422" s="6" t="s">
        <v>124</v>
      </c>
      <c r="C422" s="6">
        <v>367</v>
      </c>
      <c r="D422" s="33">
        <v>10</v>
      </c>
      <c r="E422" s="2">
        <v>12</v>
      </c>
      <c r="F422" s="2">
        <v>4404</v>
      </c>
      <c r="G422" s="3" t="s">
        <v>1058</v>
      </c>
      <c r="H422" s="35">
        <v>4007.64</v>
      </c>
      <c r="I422" s="2">
        <v>1101</v>
      </c>
      <c r="J422" s="34">
        <v>41284</v>
      </c>
      <c r="K422">
        <f t="shared" si="6"/>
        <v>4007.64</v>
      </c>
    </row>
    <row r="423" spans="1:11" x14ac:dyDescent="0.2">
      <c r="A423" s="32" t="s">
        <v>91</v>
      </c>
      <c r="B423" s="6" t="s">
        <v>124</v>
      </c>
      <c r="C423" s="6">
        <v>1324</v>
      </c>
      <c r="D423" s="33">
        <v>10</v>
      </c>
      <c r="E423" s="2">
        <v>300</v>
      </c>
      <c r="F423" s="2" t="s">
        <v>1090</v>
      </c>
      <c r="G423" s="3" t="s">
        <v>1091</v>
      </c>
      <c r="H423" s="35" t="s">
        <v>1092</v>
      </c>
      <c r="I423" s="2" t="s">
        <v>1093</v>
      </c>
      <c r="J423" s="34">
        <v>41650</v>
      </c>
      <c r="K423">
        <f t="shared" si="6"/>
        <v>361452</v>
      </c>
    </row>
    <row r="424" spans="1:11" x14ac:dyDescent="0.2">
      <c r="A424" s="32" t="s">
        <v>30</v>
      </c>
      <c r="B424" s="6" t="s">
        <v>124</v>
      </c>
      <c r="C424" s="6">
        <v>1775</v>
      </c>
      <c r="D424" s="33">
        <v>10</v>
      </c>
      <c r="E424" s="2">
        <v>12</v>
      </c>
      <c r="F424" s="2">
        <v>21300</v>
      </c>
      <c r="G424" s="3" t="s">
        <v>1094</v>
      </c>
      <c r="H424" s="35">
        <v>19383</v>
      </c>
      <c r="I424" s="2">
        <v>5325</v>
      </c>
      <c r="J424" s="34">
        <v>41285</v>
      </c>
      <c r="K424">
        <f t="shared" si="6"/>
        <v>19383</v>
      </c>
    </row>
    <row r="425" spans="1:11" x14ac:dyDescent="0.2">
      <c r="A425" s="32" t="s">
        <v>72</v>
      </c>
      <c r="B425" s="6" t="s">
        <v>124</v>
      </c>
      <c r="C425" s="6">
        <v>2797</v>
      </c>
      <c r="D425" s="33">
        <v>10</v>
      </c>
      <c r="E425" s="2">
        <v>125</v>
      </c>
      <c r="F425" s="2" t="s">
        <v>1074</v>
      </c>
      <c r="G425" s="3" t="s">
        <v>1075</v>
      </c>
      <c r="H425" s="35" t="s">
        <v>1076</v>
      </c>
      <c r="I425" s="2" t="s">
        <v>1077</v>
      </c>
      <c r="J425" s="34">
        <v>41651</v>
      </c>
      <c r="K425">
        <f t="shared" si="6"/>
        <v>318158.75</v>
      </c>
    </row>
    <row r="426" spans="1:11" x14ac:dyDescent="0.2">
      <c r="A426" s="32" t="s">
        <v>130</v>
      </c>
      <c r="B426" s="6" t="s">
        <v>124</v>
      </c>
      <c r="C426" s="6">
        <v>245</v>
      </c>
      <c r="D426" s="33">
        <v>120</v>
      </c>
      <c r="E426" s="2">
        <v>15</v>
      </c>
      <c r="F426" s="2">
        <v>3675</v>
      </c>
      <c r="G426" s="3" t="s">
        <v>1095</v>
      </c>
      <c r="H426" s="35">
        <v>3344.25</v>
      </c>
      <c r="I426" s="2">
        <v>2450</v>
      </c>
      <c r="J426" s="34">
        <v>41644</v>
      </c>
      <c r="K426">
        <f t="shared" si="6"/>
        <v>3344.25</v>
      </c>
    </row>
    <row r="427" spans="1:11" x14ac:dyDescent="0.2">
      <c r="A427" s="32" t="s">
        <v>154</v>
      </c>
      <c r="B427" s="6" t="s">
        <v>124</v>
      </c>
      <c r="C427" s="6">
        <v>3793.5</v>
      </c>
      <c r="D427" s="33">
        <v>120</v>
      </c>
      <c r="E427" s="2">
        <v>300</v>
      </c>
      <c r="F427" s="2" t="s">
        <v>1096</v>
      </c>
      <c r="G427" s="3" t="s">
        <v>1097</v>
      </c>
      <c r="H427" s="35" t="s">
        <v>1098</v>
      </c>
      <c r="I427" s="2" t="s">
        <v>1099</v>
      </c>
      <c r="J427" s="34">
        <v>41646</v>
      </c>
      <c r="K427">
        <f t="shared" si="6"/>
        <v>1035625.5</v>
      </c>
    </row>
    <row r="428" spans="1:11" x14ac:dyDescent="0.2">
      <c r="A428" s="32" t="s">
        <v>40</v>
      </c>
      <c r="B428" s="6" t="s">
        <v>124</v>
      </c>
      <c r="C428" s="6">
        <v>1307</v>
      </c>
      <c r="D428" s="33">
        <v>120</v>
      </c>
      <c r="E428" s="2">
        <v>350</v>
      </c>
      <c r="F428" s="2" t="s">
        <v>1100</v>
      </c>
      <c r="G428" s="3" t="s">
        <v>1101</v>
      </c>
      <c r="H428" s="35" t="s">
        <v>1102</v>
      </c>
      <c r="I428" s="2" t="s">
        <v>1103</v>
      </c>
      <c r="J428" s="34">
        <v>41646</v>
      </c>
      <c r="K428">
        <f t="shared" si="6"/>
        <v>416279.5</v>
      </c>
    </row>
    <row r="429" spans="1:11" x14ac:dyDescent="0.2">
      <c r="A429" s="32" t="s">
        <v>42</v>
      </c>
      <c r="B429" s="6" t="s">
        <v>124</v>
      </c>
      <c r="C429" s="6">
        <v>567</v>
      </c>
      <c r="D429" s="33">
        <v>120</v>
      </c>
      <c r="E429" s="2">
        <v>125</v>
      </c>
      <c r="F429" s="2">
        <v>70875</v>
      </c>
      <c r="G429" s="3" t="s">
        <v>1104</v>
      </c>
      <c r="H429" s="35">
        <v>64496.25</v>
      </c>
      <c r="I429" s="2">
        <v>68040</v>
      </c>
      <c r="J429" s="34">
        <v>41648</v>
      </c>
      <c r="K429">
        <f t="shared" si="6"/>
        <v>64496.25</v>
      </c>
    </row>
    <row r="430" spans="1:11" x14ac:dyDescent="0.2">
      <c r="A430" s="32" t="s">
        <v>100</v>
      </c>
      <c r="B430" s="6" t="s">
        <v>124</v>
      </c>
      <c r="C430" s="6">
        <v>2110</v>
      </c>
      <c r="D430" s="33">
        <v>120</v>
      </c>
      <c r="E430" s="2">
        <v>125</v>
      </c>
      <c r="F430" s="2" t="s">
        <v>1105</v>
      </c>
      <c r="G430" s="3" t="s">
        <v>1106</v>
      </c>
      <c r="H430" s="35" t="s">
        <v>1107</v>
      </c>
      <c r="I430" s="2" t="s">
        <v>1108</v>
      </c>
      <c r="J430" s="34">
        <v>41648</v>
      </c>
      <c r="K430">
        <f t="shared" si="6"/>
        <v>240012.5</v>
      </c>
    </row>
    <row r="431" spans="1:11" x14ac:dyDescent="0.2">
      <c r="A431" s="32" t="s">
        <v>77</v>
      </c>
      <c r="B431" s="6" t="s">
        <v>124</v>
      </c>
      <c r="C431" s="6">
        <v>1269</v>
      </c>
      <c r="D431" s="33">
        <v>120</v>
      </c>
      <c r="E431" s="2">
        <v>350</v>
      </c>
      <c r="F431" s="2" t="s">
        <v>1109</v>
      </c>
      <c r="G431" s="3" t="s">
        <v>1110</v>
      </c>
      <c r="H431" s="35" t="s">
        <v>1111</v>
      </c>
      <c r="I431" s="2" t="s">
        <v>1112</v>
      </c>
      <c r="J431" s="34">
        <v>41649</v>
      </c>
      <c r="K431">
        <f t="shared" si="6"/>
        <v>404176.5</v>
      </c>
    </row>
    <row r="432" spans="1:11" x14ac:dyDescent="0.2">
      <c r="A432" s="32" t="s">
        <v>155</v>
      </c>
      <c r="B432" s="6" t="s">
        <v>124</v>
      </c>
      <c r="C432" s="6">
        <v>1956</v>
      </c>
      <c r="D432" s="33">
        <v>250</v>
      </c>
      <c r="E432" s="2">
        <v>12</v>
      </c>
      <c r="F432" s="2">
        <v>23472</v>
      </c>
      <c r="G432" s="3" t="s">
        <v>1113</v>
      </c>
      <c r="H432" s="35">
        <v>21359.52</v>
      </c>
      <c r="I432" s="2">
        <v>5868</v>
      </c>
      <c r="J432" s="34">
        <v>41640</v>
      </c>
      <c r="K432">
        <f t="shared" si="6"/>
        <v>21359.52</v>
      </c>
    </row>
    <row r="433" spans="1:11" x14ac:dyDescent="0.2">
      <c r="A433" s="32" t="s">
        <v>81</v>
      </c>
      <c r="B433" s="6" t="s">
        <v>124</v>
      </c>
      <c r="C433" s="6">
        <v>2659</v>
      </c>
      <c r="D433" s="33">
        <v>250</v>
      </c>
      <c r="E433" s="2">
        <v>300</v>
      </c>
      <c r="F433" s="2" t="s">
        <v>1114</v>
      </c>
      <c r="G433" s="3" t="s">
        <v>1115</v>
      </c>
      <c r="H433" s="35" t="s">
        <v>1116</v>
      </c>
      <c r="I433" s="2" t="s">
        <v>1117</v>
      </c>
      <c r="J433" s="34">
        <v>41641</v>
      </c>
      <c r="K433">
        <f t="shared" si="6"/>
        <v>725907</v>
      </c>
    </row>
    <row r="434" spans="1:11" x14ac:dyDescent="0.2">
      <c r="A434" s="32" t="s">
        <v>105</v>
      </c>
      <c r="B434" s="6" t="s">
        <v>124</v>
      </c>
      <c r="C434" s="6">
        <v>1351.5</v>
      </c>
      <c r="D434" s="33">
        <v>250</v>
      </c>
      <c r="E434" s="2">
        <v>350</v>
      </c>
      <c r="F434" s="2" t="s">
        <v>1118</v>
      </c>
      <c r="G434" s="3" t="s">
        <v>1119</v>
      </c>
      <c r="H434" s="35" t="s">
        <v>1120</v>
      </c>
      <c r="I434" s="2" t="s">
        <v>1121</v>
      </c>
      <c r="J434" s="34">
        <v>41643</v>
      </c>
      <c r="K434">
        <f t="shared" si="6"/>
        <v>430452.75</v>
      </c>
    </row>
    <row r="435" spans="1:11" x14ac:dyDescent="0.2">
      <c r="A435" s="32" t="s">
        <v>44</v>
      </c>
      <c r="B435" s="6" t="s">
        <v>124</v>
      </c>
      <c r="C435" s="6">
        <v>880</v>
      </c>
      <c r="D435" s="33">
        <v>250</v>
      </c>
      <c r="E435" s="2">
        <v>12</v>
      </c>
      <c r="F435" s="2">
        <v>10560</v>
      </c>
      <c r="G435" s="3" t="s">
        <v>1122</v>
      </c>
      <c r="H435" s="35">
        <v>9609.6</v>
      </c>
      <c r="I435" s="2">
        <v>2640</v>
      </c>
      <c r="J435" s="34">
        <v>41644</v>
      </c>
      <c r="K435">
        <f t="shared" si="6"/>
        <v>9609.6</v>
      </c>
    </row>
    <row r="436" spans="1:11" x14ac:dyDescent="0.2">
      <c r="A436" s="32" t="s">
        <v>113</v>
      </c>
      <c r="B436" s="6" t="s">
        <v>124</v>
      </c>
      <c r="C436" s="6">
        <v>1867</v>
      </c>
      <c r="D436" s="33">
        <v>250</v>
      </c>
      <c r="E436" s="2">
        <v>300</v>
      </c>
      <c r="F436" s="2" t="s">
        <v>1123</v>
      </c>
      <c r="G436" s="3" t="s">
        <v>1124</v>
      </c>
      <c r="H436" s="35" t="s">
        <v>1125</v>
      </c>
      <c r="I436" s="2" t="s">
        <v>1126</v>
      </c>
      <c r="J436" s="34">
        <v>41648</v>
      </c>
      <c r="K436">
        <f t="shared" si="6"/>
        <v>509691</v>
      </c>
    </row>
    <row r="437" spans="1:11" x14ac:dyDescent="0.2">
      <c r="A437" s="32" t="s">
        <v>119</v>
      </c>
      <c r="B437" s="6" t="s">
        <v>124</v>
      </c>
      <c r="C437" s="6">
        <v>2234</v>
      </c>
      <c r="D437" s="33">
        <v>250</v>
      </c>
      <c r="E437" s="2">
        <v>12</v>
      </c>
      <c r="F437" s="2">
        <v>26808</v>
      </c>
      <c r="G437" s="3" t="s">
        <v>1127</v>
      </c>
      <c r="H437" s="35">
        <v>24395.279999999999</v>
      </c>
      <c r="I437" s="2">
        <v>6702</v>
      </c>
      <c r="J437" s="34">
        <v>41283</v>
      </c>
      <c r="K437">
        <f t="shared" si="6"/>
        <v>24395.279999999999</v>
      </c>
    </row>
    <row r="438" spans="1:11" x14ac:dyDescent="0.2">
      <c r="A438" s="32" t="s">
        <v>45</v>
      </c>
      <c r="B438" s="6" t="s">
        <v>124</v>
      </c>
      <c r="C438" s="6">
        <v>1227</v>
      </c>
      <c r="D438" s="33">
        <v>250</v>
      </c>
      <c r="E438" s="2">
        <v>15</v>
      </c>
      <c r="F438" s="2">
        <v>18405</v>
      </c>
      <c r="G438" s="3" t="s">
        <v>1089</v>
      </c>
      <c r="H438" s="35">
        <v>16748.55</v>
      </c>
      <c r="I438" s="2">
        <v>12270</v>
      </c>
      <c r="J438" s="34">
        <v>41649</v>
      </c>
      <c r="K438">
        <f t="shared" si="6"/>
        <v>16748.55</v>
      </c>
    </row>
    <row r="439" spans="1:11" x14ac:dyDescent="0.2">
      <c r="A439" s="32" t="s">
        <v>103</v>
      </c>
      <c r="B439" s="6" t="s">
        <v>124</v>
      </c>
      <c r="C439" s="6">
        <v>877</v>
      </c>
      <c r="D439" s="33">
        <v>250</v>
      </c>
      <c r="E439" s="2">
        <v>125</v>
      </c>
      <c r="F439" s="2" t="s">
        <v>1128</v>
      </c>
      <c r="G439" s="3" t="s">
        <v>1129</v>
      </c>
      <c r="H439" s="35">
        <v>99758.75</v>
      </c>
      <c r="I439" s="2" t="s">
        <v>1130</v>
      </c>
      <c r="J439" s="34">
        <v>41650</v>
      </c>
      <c r="K439">
        <f t="shared" si="6"/>
        <v>99758.75</v>
      </c>
    </row>
    <row r="440" spans="1:11" x14ac:dyDescent="0.2">
      <c r="A440" s="32" t="s">
        <v>54</v>
      </c>
      <c r="B440" s="6" t="s">
        <v>124</v>
      </c>
      <c r="C440" s="6">
        <v>2071</v>
      </c>
      <c r="D440" s="33">
        <v>260</v>
      </c>
      <c r="E440" s="2">
        <v>350</v>
      </c>
      <c r="F440" s="2" t="s">
        <v>1131</v>
      </c>
      <c r="G440" s="3" t="s">
        <v>1132</v>
      </c>
      <c r="H440" s="35" t="s">
        <v>1133</v>
      </c>
      <c r="I440" s="2" t="s">
        <v>1134</v>
      </c>
      <c r="J440" s="34">
        <v>41648</v>
      </c>
      <c r="K440">
        <f t="shared" si="6"/>
        <v>659613.5</v>
      </c>
    </row>
    <row r="441" spans="1:11" x14ac:dyDescent="0.2">
      <c r="A441" s="32" t="s">
        <v>123</v>
      </c>
      <c r="B441" s="6" t="s">
        <v>124</v>
      </c>
      <c r="C441" s="6">
        <v>1269</v>
      </c>
      <c r="D441" s="33">
        <v>260</v>
      </c>
      <c r="E441" s="2">
        <v>350</v>
      </c>
      <c r="F441" s="2" t="s">
        <v>1109</v>
      </c>
      <c r="G441" s="3" t="s">
        <v>1110</v>
      </c>
      <c r="H441" s="35" t="s">
        <v>1111</v>
      </c>
      <c r="I441" s="2" t="s">
        <v>1112</v>
      </c>
      <c r="J441" s="34">
        <v>41649</v>
      </c>
      <c r="K441">
        <f t="shared" si="6"/>
        <v>404176.5</v>
      </c>
    </row>
    <row r="442" spans="1:11" x14ac:dyDescent="0.2">
      <c r="A442" s="32" t="s">
        <v>152</v>
      </c>
      <c r="B442" s="6" t="s">
        <v>124</v>
      </c>
      <c r="C442" s="6">
        <v>970</v>
      </c>
      <c r="D442" s="33">
        <v>260</v>
      </c>
      <c r="E442" s="2">
        <v>15</v>
      </c>
      <c r="F442" s="2">
        <v>14550</v>
      </c>
      <c r="G442" s="3" t="s">
        <v>1135</v>
      </c>
      <c r="H442" s="35">
        <v>13240.5</v>
      </c>
      <c r="I442" s="2">
        <v>9700</v>
      </c>
      <c r="J442" s="34">
        <v>41285</v>
      </c>
      <c r="K442">
        <f t="shared" si="6"/>
        <v>13240.5</v>
      </c>
    </row>
    <row r="443" spans="1:11" x14ac:dyDescent="0.2">
      <c r="A443" s="32" t="s">
        <v>121</v>
      </c>
      <c r="B443" s="6" t="s">
        <v>124</v>
      </c>
      <c r="C443" s="6">
        <v>1694</v>
      </c>
      <c r="D443" s="33">
        <v>260</v>
      </c>
      <c r="E443" s="2">
        <v>20</v>
      </c>
      <c r="F443" s="2">
        <v>33880</v>
      </c>
      <c r="G443" s="3" t="s">
        <v>1136</v>
      </c>
      <c r="H443" s="35">
        <v>30830.799999999999</v>
      </c>
      <c r="I443" s="2">
        <v>16940</v>
      </c>
      <c r="J443" s="34">
        <v>41650</v>
      </c>
      <c r="K443">
        <f t="shared" si="6"/>
        <v>30830.799999999999</v>
      </c>
    </row>
    <row r="444" spans="1:11" x14ac:dyDescent="0.2">
      <c r="A444" s="32" t="s">
        <v>13</v>
      </c>
      <c r="B444" s="6" t="s">
        <v>124</v>
      </c>
      <c r="C444" s="6">
        <v>663</v>
      </c>
      <c r="D444" s="33">
        <v>3</v>
      </c>
      <c r="E444" s="2">
        <v>20</v>
      </c>
      <c r="F444" s="2">
        <v>13260</v>
      </c>
      <c r="G444" s="3" t="s">
        <v>1137</v>
      </c>
      <c r="H444" s="35">
        <v>12066.6</v>
      </c>
      <c r="I444" s="2">
        <v>6630</v>
      </c>
      <c r="J444" s="34">
        <v>41644</v>
      </c>
      <c r="K444">
        <f t="shared" si="6"/>
        <v>12066.6</v>
      </c>
    </row>
    <row r="445" spans="1:11" x14ac:dyDescent="0.2">
      <c r="A445" s="32" t="s">
        <v>11</v>
      </c>
      <c r="B445" s="6" t="s">
        <v>124</v>
      </c>
      <c r="C445" s="6">
        <v>819</v>
      </c>
      <c r="D445" s="33">
        <v>3</v>
      </c>
      <c r="E445" s="2">
        <v>7</v>
      </c>
      <c r="F445" s="2">
        <v>5733</v>
      </c>
      <c r="G445" s="3" t="s">
        <v>1138</v>
      </c>
      <c r="H445" s="35">
        <v>5217.03</v>
      </c>
      <c r="I445" s="2">
        <v>4095</v>
      </c>
      <c r="J445" s="34">
        <v>41646</v>
      </c>
      <c r="K445">
        <f t="shared" si="6"/>
        <v>5217.03</v>
      </c>
    </row>
    <row r="446" spans="1:11" x14ac:dyDescent="0.2">
      <c r="A446" s="32" t="s">
        <v>65</v>
      </c>
      <c r="B446" s="6" t="s">
        <v>124</v>
      </c>
      <c r="C446" s="6">
        <v>1580</v>
      </c>
      <c r="D446" s="33">
        <v>3</v>
      </c>
      <c r="E446" s="2">
        <v>12</v>
      </c>
      <c r="F446" s="2">
        <v>18960</v>
      </c>
      <c r="G446" s="3" t="s">
        <v>1139</v>
      </c>
      <c r="H446" s="35">
        <v>17253.599999999999</v>
      </c>
      <c r="I446" s="2">
        <v>4740</v>
      </c>
      <c r="J446" s="34">
        <v>41648</v>
      </c>
      <c r="K446">
        <f t="shared" si="6"/>
        <v>17253.599999999999</v>
      </c>
    </row>
    <row r="447" spans="1:11" x14ac:dyDescent="0.2">
      <c r="A447" s="32" t="s">
        <v>60</v>
      </c>
      <c r="B447" s="6" t="s">
        <v>124</v>
      </c>
      <c r="C447" s="6">
        <v>521</v>
      </c>
      <c r="D447" s="33">
        <v>3</v>
      </c>
      <c r="E447" s="2">
        <v>7</v>
      </c>
      <c r="F447" s="2">
        <v>3647</v>
      </c>
      <c r="G447" s="3" t="s">
        <v>1140</v>
      </c>
      <c r="H447" s="35">
        <v>3318.77</v>
      </c>
      <c r="I447" s="2">
        <v>2605</v>
      </c>
      <c r="J447" s="34">
        <v>41651</v>
      </c>
      <c r="K447">
        <f t="shared" si="6"/>
        <v>3318.77</v>
      </c>
    </row>
    <row r="448" spans="1:11" x14ac:dyDescent="0.2">
      <c r="A448" s="32" t="s">
        <v>34</v>
      </c>
      <c r="B448" s="6" t="s">
        <v>124</v>
      </c>
      <c r="C448" s="6">
        <v>973</v>
      </c>
      <c r="D448" s="33">
        <v>10</v>
      </c>
      <c r="E448" s="2">
        <v>20</v>
      </c>
      <c r="F448" s="2">
        <v>19460</v>
      </c>
      <c r="G448" s="3" t="s">
        <v>1141</v>
      </c>
      <c r="H448" s="35">
        <v>17708.599999999999</v>
      </c>
      <c r="I448" s="2">
        <v>9730</v>
      </c>
      <c r="J448" s="34">
        <v>41642</v>
      </c>
      <c r="K448">
        <f t="shared" si="6"/>
        <v>17708.599999999999</v>
      </c>
    </row>
    <row r="449" spans="1:11" x14ac:dyDescent="0.2">
      <c r="A449" s="32" t="s">
        <v>31</v>
      </c>
      <c r="B449" s="6" t="s">
        <v>124</v>
      </c>
      <c r="C449" s="6">
        <v>1038</v>
      </c>
      <c r="D449" s="33">
        <v>10</v>
      </c>
      <c r="E449" s="2">
        <v>20</v>
      </c>
      <c r="F449" s="2">
        <v>20760</v>
      </c>
      <c r="G449" s="3" t="s">
        <v>1142</v>
      </c>
      <c r="H449" s="35">
        <v>18891.599999999999</v>
      </c>
      <c r="I449" s="2">
        <v>10380</v>
      </c>
      <c r="J449" s="34">
        <v>41645</v>
      </c>
      <c r="K449">
        <f t="shared" si="6"/>
        <v>18891.599999999999</v>
      </c>
    </row>
    <row r="450" spans="1:11" x14ac:dyDescent="0.2">
      <c r="A450" s="32" t="s">
        <v>29</v>
      </c>
      <c r="B450" s="6" t="s">
        <v>124</v>
      </c>
      <c r="C450" s="6">
        <v>360</v>
      </c>
      <c r="D450" s="33">
        <v>10</v>
      </c>
      <c r="E450" s="2">
        <v>7</v>
      </c>
      <c r="F450" s="2">
        <v>2520</v>
      </c>
      <c r="G450" s="3" t="s">
        <v>1143</v>
      </c>
      <c r="H450" s="35">
        <v>2293.1999999999998</v>
      </c>
      <c r="I450" s="2">
        <v>1800</v>
      </c>
      <c r="J450" s="34">
        <v>41649</v>
      </c>
      <c r="K450">
        <f t="shared" si="6"/>
        <v>2293.1999999999998</v>
      </c>
    </row>
    <row r="451" spans="1:11" x14ac:dyDescent="0.2">
      <c r="A451" s="32" t="s">
        <v>101</v>
      </c>
      <c r="B451" s="6" t="s">
        <v>124</v>
      </c>
      <c r="C451" s="6">
        <v>1967</v>
      </c>
      <c r="D451" s="33">
        <v>120</v>
      </c>
      <c r="E451" s="2">
        <v>12</v>
      </c>
      <c r="F451" s="2">
        <v>23604</v>
      </c>
      <c r="G451" s="3" t="s">
        <v>1144</v>
      </c>
      <c r="H451" s="35">
        <v>21479.64</v>
      </c>
      <c r="I451" s="2">
        <v>5901</v>
      </c>
      <c r="J451" s="34">
        <v>41642</v>
      </c>
      <c r="K451">
        <f t="shared" si="6"/>
        <v>21479.64</v>
      </c>
    </row>
    <row r="452" spans="1:11" x14ac:dyDescent="0.2">
      <c r="A452" s="32" t="s">
        <v>130</v>
      </c>
      <c r="B452" s="6" t="s">
        <v>124</v>
      </c>
      <c r="C452" s="6">
        <v>2628</v>
      </c>
      <c r="D452" s="33">
        <v>120</v>
      </c>
      <c r="E452" s="2">
        <v>15</v>
      </c>
      <c r="F452" s="2">
        <v>39420</v>
      </c>
      <c r="G452" s="3" t="s">
        <v>1145</v>
      </c>
      <c r="H452" s="35">
        <v>35872.199999999997</v>
      </c>
      <c r="I452" s="2">
        <v>26280</v>
      </c>
      <c r="J452" s="34">
        <v>41643</v>
      </c>
      <c r="K452">
        <f t="shared" si="6"/>
        <v>35872.199999999997</v>
      </c>
    </row>
    <row r="453" spans="1:11" x14ac:dyDescent="0.2">
      <c r="A453" s="32" t="s">
        <v>78</v>
      </c>
      <c r="B453" s="6" t="s">
        <v>124</v>
      </c>
      <c r="C453" s="6">
        <v>360</v>
      </c>
      <c r="D453" s="33">
        <v>250</v>
      </c>
      <c r="E453" s="2">
        <v>7</v>
      </c>
      <c r="F453" s="2">
        <v>2520</v>
      </c>
      <c r="G453" s="3" t="s">
        <v>1143</v>
      </c>
      <c r="H453" s="35">
        <v>2293.1999999999998</v>
      </c>
      <c r="I453" s="2">
        <v>1800</v>
      </c>
      <c r="J453" s="34">
        <v>41649</v>
      </c>
      <c r="K453">
        <f t="shared" ref="K453:K516" si="7">_xlfn.NUMBERVALUE(SUBSTITUTE(H453," $","",1))</f>
        <v>2293.1999999999998</v>
      </c>
    </row>
    <row r="454" spans="1:11" x14ac:dyDescent="0.2">
      <c r="A454" s="32" t="s">
        <v>47</v>
      </c>
      <c r="B454" s="6" t="s">
        <v>124</v>
      </c>
      <c r="C454" s="6">
        <v>2682</v>
      </c>
      <c r="D454" s="33">
        <v>250</v>
      </c>
      <c r="E454" s="2">
        <v>20</v>
      </c>
      <c r="F454" s="2">
        <v>53640</v>
      </c>
      <c r="G454" s="3" t="s">
        <v>1146</v>
      </c>
      <c r="H454" s="35">
        <v>48812.4</v>
      </c>
      <c r="I454" s="2">
        <v>26820</v>
      </c>
      <c r="J454" s="34">
        <v>41285</v>
      </c>
      <c r="K454">
        <f t="shared" si="7"/>
        <v>48812.4</v>
      </c>
    </row>
    <row r="455" spans="1:11" x14ac:dyDescent="0.2">
      <c r="A455" s="32" t="s">
        <v>83</v>
      </c>
      <c r="B455" s="6" t="s">
        <v>124</v>
      </c>
      <c r="C455" s="6">
        <v>521</v>
      </c>
      <c r="D455" s="33">
        <v>250</v>
      </c>
      <c r="E455" s="2">
        <v>7</v>
      </c>
      <c r="F455" s="2">
        <v>3647</v>
      </c>
      <c r="G455" s="3" t="s">
        <v>1140</v>
      </c>
      <c r="H455" s="35">
        <v>3318.77</v>
      </c>
      <c r="I455" s="2">
        <v>2605</v>
      </c>
      <c r="J455" s="34">
        <v>41651</v>
      </c>
      <c r="K455">
        <f t="shared" si="7"/>
        <v>3318.77</v>
      </c>
    </row>
    <row r="456" spans="1:11" x14ac:dyDescent="0.2">
      <c r="A456" s="32" t="s">
        <v>121</v>
      </c>
      <c r="B456" s="6" t="s">
        <v>124</v>
      </c>
      <c r="C456" s="6">
        <v>1038</v>
      </c>
      <c r="D456" s="33">
        <v>260</v>
      </c>
      <c r="E456" s="2">
        <v>20</v>
      </c>
      <c r="F456" s="2">
        <v>20760</v>
      </c>
      <c r="G456" s="3" t="s">
        <v>1142</v>
      </c>
      <c r="H456" s="35">
        <v>18891.599999999999</v>
      </c>
      <c r="I456" s="2">
        <v>10380</v>
      </c>
      <c r="J456" s="34">
        <v>41645</v>
      </c>
      <c r="K456">
        <f t="shared" si="7"/>
        <v>18891.599999999999</v>
      </c>
    </row>
    <row r="457" spans="1:11" x14ac:dyDescent="0.2">
      <c r="A457" s="32" t="s">
        <v>156</v>
      </c>
      <c r="B457" s="6" t="s">
        <v>124</v>
      </c>
      <c r="C457" s="6">
        <v>1630.5</v>
      </c>
      <c r="D457" s="33">
        <v>260</v>
      </c>
      <c r="E457" s="2">
        <v>15</v>
      </c>
      <c r="F457" s="2">
        <v>24457.5</v>
      </c>
      <c r="G457" s="3" t="s">
        <v>1147</v>
      </c>
      <c r="H457" s="35">
        <v>22256.33</v>
      </c>
      <c r="I457" s="2">
        <v>16305</v>
      </c>
      <c r="J457" s="34">
        <v>41646</v>
      </c>
      <c r="K457">
        <f t="shared" si="7"/>
        <v>22256.33</v>
      </c>
    </row>
    <row r="458" spans="1:11" x14ac:dyDescent="0.2">
      <c r="A458" s="32" t="s">
        <v>157</v>
      </c>
      <c r="B458" s="6" t="s">
        <v>124</v>
      </c>
      <c r="C458" s="6">
        <v>306</v>
      </c>
      <c r="D458" s="33">
        <v>260</v>
      </c>
      <c r="E458" s="2">
        <v>12</v>
      </c>
      <c r="F458" s="2">
        <v>3672</v>
      </c>
      <c r="G458" s="3" t="s">
        <v>1148</v>
      </c>
      <c r="H458" s="35">
        <v>3341.52</v>
      </c>
      <c r="I458" s="2">
        <v>918</v>
      </c>
      <c r="J458" s="34">
        <v>41286</v>
      </c>
      <c r="K458">
        <f t="shared" si="7"/>
        <v>3341.52</v>
      </c>
    </row>
    <row r="459" spans="1:11" x14ac:dyDescent="0.2">
      <c r="A459" s="32" t="s">
        <v>59</v>
      </c>
      <c r="B459" s="6" t="s">
        <v>158</v>
      </c>
      <c r="C459" s="6">
        <v>386</v>
      </c>
      <c r="D459" s="33">
        <v>3</v>
      </c>
      <c r="E459" s="2">
        <v>12</v>
      </c>
      <c r="F459" s="2">
        <v>4632</v>
      </c>
      <c r="G459" s="3" t="s">
        <v>1149</v>
      </c>
      <c r="H459" s="35">
        <v>4168.8</v>
      </c>
      <c r="I459" s="2">
        <v>1158</v>
      </c>
      <c r="J459" s="34">
        <v>41284</v>
      </c>
      <c r="K459">
        <f t="shared" si="7"/>
        <v>4168.8</v>
      </c>
    </row>
    <row r="460" spans="1:11" x14ac:dyDescent="0.2">
      <c r="A460" s="32" t="s">
        <v>88</v>
      </c>
      <c r="B460" s="6" t="s">
        <v>158</v>
      </c>
      <c r="C460" s="6">
        <v>2328</v>
      </c>
      <c r="D460" s="33">
        <v>5</v>
      </c>
      <c r="E460" s="2">
        <v>7</v>
      </c>
      <c r="F460" s="2">
        <v>16296</v>
      </c>
      <c r="G460" s="3" t="s">
        <v>1150</v>
      </c>
      <c r="H460" s="35">
        <v>14666.4</v>
      </c>
      <c r="I460" s="2">
        <v>11640</v>
      </c>
      <c r="J460" s="34">
        <v>41648</v>
      </c>
      <c r="K460">
        <f t="shared" si="7"/>
        <v>14666.4</v>
      </c>
    </row>
    <row r="461" spans="1:11" x14ac:dyDescent="0.2">
      <c r="A461" s="32" t="s">
        <v>35</v>
      </c>
      <c r="B461" s="6" t="s">
        <v>158</v>
      </c>
      <c r="C461" s="6">
        <v>386</v>
      </c>
      <c r="D461" s="33">
        <v>10</v>
      </c>
      <c r="E461" s="2">
        <v>12</v>
      </c>
      <c r="F461" s="2">
        <v>4632</v>
      </c>
      <c r="G461" s="3" t="s">
        <v>1149</v>
      </c>
      <c r="H461" s="35">
        <v>4168.8</v>
      </c>
      <c r="I461" s="2">
        <v>1158</v>
      </c>
      <c r="J461" s="34">
        <v>41284</v>
      </c>
      <c r="K461">
        <f t="shared" si="7"/>
        <v>4168.8</v>
      </c>
    </row>
    <row r="462" spans="1:11" x14ac:dyDescent="0.2">
      <c r="A462" s="32" t="s">
        <v>63</v>
      </c>
      <c r="B462" s="6" t="s">
        <v>158</v>
      </c>
      <c r="C462" s="6">
        <v>3445.5</v>
      </c>
      <c r="D462" s="33">
        <v>3</v>
      </c>
      <c r="E462" s="2">
        <v>125</v>
      </c>
      <c r="F462" s="2" t="s">
        <v>1151</v>
      </c>
      <c r="G462" s="3" t="s">
        <v>1152</v>
      </c>
      <c r="H462" s="35" t="s">
        <v>1153</v>
      </c>
      <c r="I462" s="2" t="s">
        <v>1154</v>
      </c>
      <c r="J462" s="34">
        <v>41643</v>
      </c>
      <c r="K462">
        <f t="shared" si="7"/>
        <v>387618.75</v>
      </c>
    </row>
    <row r="463" spans="1:11" x14ac:dyDescent="0.2">
      <c r="A463" s="32" t="s">
        <v>109</v>
      </c>
      <c r="B463" s="6" t="s">
        <v>158</v>
      </c>
      <c r="C463" s="6">
        <v>1482</v>
      </c>
      <c r="D463" s="33">
        <v>3</v>
      </c>
      <c r="E463" s="2">
        <v>125</v>
      </c>
      <c r="F463" s="2" t="s">
        <v>1155</v>
      </c>
      <c r="G463" s="3" t="s">
        <v>1156</v>
      </c>
      <c r="H463" s="35" t="s">
        <v>1157</v>
      </c>
      <c r="I463" s="2" t="s">
        <v>1158</v>
      </c>
      <c r="J463" s="34">
        <v>41286</v>
      </c>
      <c r="K463">
        <f t="shared" si="7"/>
        <v>166725</v>
      </c>
    </row>
    <row r="464" spans="1:11" x14ac:dyDescent="0.2">
      <c r="A464" s="32" t="s">
        <v>88</v>
      </c>
      <c r="B464" s="6" t="s">
        <v>158</v>
      </c>
      <c r="C464" s="6">
        <v>2313</v>
      </c>
      <c r="D464" s="33">
        <v>5</v>
      </c>
      <c r="E464" s="2">
        <v>350</v>
      </c>
      <c r="F464" s="2" t="s">
        <v>1159</v>
      </c>
      <c r="G464" s="3" t="s">
        <v>1160</v>
      </c>
      <c r="H464" s="35" t="s">
        <v>1161</v>
      </c>
      <c r="I464" s="2" t="s">
        <v>1162</v>
      </c>
      <c r="J464" s="34">
        <v>41644</v>
      </c>
      <c r="K464">
        <f t="shared" si="7"/>
        <v>728595</v>
      </c>
    </row>
    <row r="465" spans="1:11" x14ac:dyDescent="0.2">
      <c r="A465" s="32" t="s">
        <v>70</v>
      </c>
      <c r="B465" s="6" t="s">
        <v>158</v>
      </c>
      <c r="C465" s="6">
        <v>1804</v>
      </c>
      <c r="D465" s="33">
        <v>5</v>
      </c>
      <c r="E465" s="2">
        <v>125</v>
      </c>
      <c r="F465" s="2" t="s">
        <v>460</v>
      </c>
      <c r="G465" s="3" t="s">
        <v>1163</v>
      </c>
      <c r="H465" s="35" t="s">
        <v>1164</v>
      </c>
      <c r="I465" s="2" t="s">
        <v>461</v>
      </c>
      <c r="J465" s="34">
        <v>41285</v>
      </c>
      <c r="K465">
        <f t="shared" si="7"/>
        <v>202950</v>
      </c>
    </row>
    <row r="466" spans="1:11" x14ac:dyDescent="0.2">
      <c r="A466" s="32" t="s">
        <v>149</v>
      </c>
      <c r="B466" s="6" t="s">
        <v>158</v>
      </c>
      <c r="C466" s="6">
        <v>2072</v>
      </c>
      <c r="D466" s="33">
        <v>5</v>
      </c>
      <c r="E466" s="2">
        <v>15</v>
      </c>
      <c r="F466" s="2">
        <v>31080</v>
      </c>
      <c r="G466" s="3" t="s">
        <v>1165</v>
      </c>
      <c r="H466" s="35">
        <v>27972</v>
      </c>
      <c r="I466" s="2">
        <v>20720</v>
      </c>
      <c r="J466" s="34">
        <v>41651</v>
      </c>
      <c r="K466">
        <f t="shared" si="7"/>
        <v>27972</v>
      </c>
    </row>
    <row r="467" spans="1:11" x14ac:dyDescent="0.2">
      <c r="A467" s="32" t="s">
        <v>56</v>
      </c>
      <c r="B467" s="6" t="s">
        <v>158</v>
      </c>
      <c r="C467" s="6">
        <v>1954</v>
      </c>
      <c r="D467" s="33">
        <v>10</v>
      </c>
      <c r="E467" s="2">
        <v>20</v>
      </c>
      <c r="F467" s="2">
        <v>39080</v>
      </c>
      <c r="G467" s="3" t="s">
        <v>1166</v>
      </c>
      <c r="H467" s="35">
        <v>35172</v>
      </c>
      <c r="I467" s="2">
        <v>19540</v>
      </c>
      <c r="J467" s="34">
        <v>41642</v>
      </c>
      <c r="K467">
        <f t="shared" si="7"/>
        <v>35172</v>
      </c>
    </row>
    <row r="468" spans="1:11" x14ac:dyDescent="0.2">
      <c r="A468" s="32" t="s">
        <v>33</v>
      </c>
      <c r="B468" s="6" t="s">
        <v>158</v>
      </c>
      <c r="C468" s="6">
        <v>591</v>
      </c>
      <c r="D468" s="33">
        <v>10</v>
      </c>
      <c r="E468" s="2">
        <v>300</v>
      </c>
      <c r="F468" s="2" t="s">
        <v>1167</v>
      </c>
      <c r="G468" s="3" t="s">
        <v>1168</v>
      </c>
      <c r="H468" s="35" t="s">
        <v>1169</v>
      </c>
      <c r="I468" s="2" t="s">
        <v>1170</v>
      </c>
      <c r="J468" s="34">
        <v>41644</v>
      </c>
      <c r="K468">
        <f t="shared" si="7"/>
        <v>159570</v>
      </c>
    </row>
    <row r="469" spans="1:11" x14ac:dyDescent="0.2">
      <c r="A469" s="32" t="s">
        <v>32</v>
      </c>
      <c r="B469" s="6" t="s">
        <v>158</v>
      </c>
      <c r="C469" s="6">
        <v>2167</v>
      </c>
      <c r="D469" s="33">
        <v>10</v>
      </c>
      <c r="E469" s="2">
        <v>15</v>
      </c>
      <c r="F469" s="2">
        <v>32505</v>
      </c>
      <c r="G469" s="3" t="s">
        <v>1171</v>
      </c>
      <c r="H469" s="35">
        <v>29254.5</v>
      </c>
      <c r="I469" s="2">
        <v>21670</v>
      </c>
      <c r="J469" s="34">
        <v>41284</v>
      </c>
      <c r="K469">
        <f t="shared" si="7"/>
        <v>29254.5</v>
      </c>
    </row>
    <row r="470" spans="1:11" x14ac:dyDescent="0.2">
      <c r="A470" s="32" t="s">
        <v>29</v>
      </c>
      <c r="B470" s="6" t="s">
        <v>158</v>
      </c>
      <c r="C470" s="6">
        <v>241</v>
      </c>
      <c r="D470" s="33">
        <v>10</v>
      </c>
      <c r="E470" s="2">
        <v>20</v>
      </c>
      <c r="F470" s="2">
        <v>4820</v>
      </c>
      <c r="G470" s="3" t="s">
        <v>1172</v>
      </c>
      <c r="H470" s="35">
        <v>4338</v>
      </c>
      <c r="I470" s="2">
        <v>2410</v>
      </c>
      <c r="J470" s="34">
        <v>41649</v>
      </c>
      <c r="K470">
        <f t="shared" si="7"/>
        <v>4338</v>
      </c>
    </row>
    <row r="471" spans="1:11" x14ac:dyDescent="0.2">
      <c r="A471" s="32" t="s">
        <v>136</v>
      </c>
      <c r="B471" s="6" t="s">
        <v>158</v>
      </c>
      <c r="C471" s="6">
        <v>681</v>
      </c>
      <c r="D471" s="33">
        <v>120</v>
      </c>
      <c r="E471" s="2">
        <v>15</v>
      </c>
      <c r="F471" s="2">
        <v>10215</v>
      </c>
      <c r="G471" s="3" t="s">
        <v>1173</v>
      </c>
      <c r="H471" s="35">
        <v>9193.5</v>
      </c>
      <c r="I471" s="2">
        <v>6810</v>
      </c>
      <c r="J471" s="34">
        <v>41640</v>
      </c>
      <c r="K471">
        <f t="shared" si="7"/>
        <v>9193.5</v>
      </c>
    </row>
    <row r="472" spans="1:11" x14ac:dyDescent="0.2">
      <c r="A472" s="32" t="s">
        <v>136</v>
      </c>
      <c r="B472" s="6" t="s">
        <v>158</v>
      </c>
      <c r="C472" s="6">
        <v>510</v>
      </c>
      <c r="D472" s="33">
        <v>120</v>
      </c>
      <c r="E472" s="2">
        <v>15</v>
      </c>
      <c r="F472" s="2">
        <v>7650</v>
      </c>
      <c r="G472" s="3" t="s">
        <v>1174</v>
      </c>
      <c r="H472" s="35">
        <v>6885</v>
      </c>
      <c r="I472" s="2">
        <v>5100</v>
      </c>
      <c r="J472" s="34">
        <v>41643</v>
      </c>
      <c r="K472">
        <f t="shared" si="7"/>
        <v>6885</v>
      </c>
    </row>
    <row r="473" spans="1:11" x14ac:dyDescent="0.2">
      <c r="A473" s="32" t="s">
        <v>129</v>
      </c>
      <c r="B473" s="6" t="s">
        <v>158</v>
      </c>
      <c r="C473" s="6">
        <v>790</v>
      </c>
      <c r="D473" s="33">
        <v>120</v>
      </c>
      <c r="E473" s="2">
        <v>15</v>
      </c>
      <c r="F473" s="2">
        <v>11850</v>
      </c>
      <c r="G473" s="3" t="s">
        <v>1175</v>
      </c>
      <c r="H473" s="35">
        <v>10665</v>
      </c>
      <c r="I473" s="2">
        <v>7900</v>
      </c>
      <c r="J473" s="34">
        <v>41644</v>
      </c>
      <c r="K473">
        <f t="shared" si="7"/>
        <v>10665</v>
      </c>
    </row>
    <row r="474" spans="1:11" x14ac:dyDescent="0.2">
      <c r="A474" s="32" t="s">
        <v>58</v>
      </c>
      <c r="B474" s="6" t="s">
        <v>158</v>
      </c>
      <c r="C474" s="6">
        <v>639</v>
      </c>
      <c r="D474" s="33">
        <v>120</v>
      </c>
      <c r="E474" s="2">
        <v>350</v>
      </c>
      <c r="F474" s="2" t="s">
        <v>1176</v>
      </c>
      <c r="G474" s="3" t="s">
        <v>1177</v>
      </c>
      <c r="H474" s="35" t="s">
        <v>1178</v>
      </c>
      <c r="I474" s="2" t="s">
        <v>1179</v>
      </c>
      <c r="J474" s="34">
        <v>41646</v>
      </c>
      <c r="K474">
        <f t="shared" si="7"/>
        <v>201285</v>
      </c>
    </row>
    <row r="475" spans="1:11" x14ac:dyDescent="0.2">
      <c r="A475" s="32" t="s">
        <v>41</v>
      </c>
      <c r="B475" s="6" t="s">
        <v>158</v>
      </c>
      <c r="C475" s="6">
        <v>1596</v>
      </c>
      <c r="D475" s="33">
        <v>120</v>
      </c>
      <c r="E475" s="2">
        <v>125</v>
      </c>
      <c r="F475" s="2" t="s">
        <v>1180</v>
      </c>
      <c r="G475" s="3" t="s">
        <v>1181</v>
      </c>
      <c r="H475" s="35" t="s">
        <v>1182</v>
      </c>
      <c r="I475" s="2" t="s">
        <v>1183</v>
      </c>
      <c r="J475" s="34">
        <v>41648</v>
      </c>
      <c r="K475">
        <f t="shared" si="7"/>
        <v>179550</v>
      </c>
    </row>
    <row r="476" spans="1:11" x14ac:dyDescent="0.2">
      <c r="A476" s="32" t="s">
        <v>144</v>
      </c>
      <c r="B476" s="6" t="s">
        <v>158</v>
      </c>
      <c r="C476" s="6">
        <v>2294</v>
      </c>
      <c r="D476" s="33">
        <v>120</v>
      </c>
      <c r="E476" s="2">
        <v>300</v>
      </c>
      <c r="F476" s="2" t="s">
        <v>1184</v>
      </c>
      <c r="G476" s="3" t="s">
        <v>1185</v>
      </c>
      <c r="H476" s="35" t="s">
        <v>1186</v>
      </c>
      <c r="I476" s="2" t="s">
        <v>1187</v>
      </c>
      <c r="J476" s="34">
        <v>41284</v>
      </c>
      <c r="K476">
        <f t="shared" si="7"/>
        <v>619380</v>
      </c>
    </row>
    <row r="477" spans="1:11" x14ac:dyDescent="0.2">
      <c r="A477" s="32" t="s">
        <v>40</v>
      </c>
      <c r="B477" s="6" t="s">
        <v>158</v>
      </c>
      <c r="C477" s="6">
        <v>241</v>
      </c>
      <c r="D477" s="33">
        <v>120</v>
      </c>
      <c r="E477" s="2">
        <v>20</v>
      </c>
      <c r="F477" s="2">
        <v>4820</v>
      </c>
      <c r="G477" s="3" t="s">
        <v>1172</v>
      </c>
      <c r="H477" s="35">
        <v>4338</v>
      </c>
      <c r="I477" s="2">
        <v>2410</v>
      </c>
      <c r="J477" s="34">
        <v>41649</v>
      </c>
      <c r="K477">
        <f t="shared" si="7"/>
        <v>4338</v>
      </c>
    </row>
    <row r="478" spans="1:11" x14ac:dyDescent="0.2">
      <c r="A478" s="32" t="s">
        <v>40</v>
      </c>
      <c r="B478" s="6" t="s">
        <v>158</v>
      </c>
      <c r="C478" s="6">
        <v>2665</v>
      </c>
      <c r="D478" s="33">
        <v>120</v>
      </c>
      <c r="E478" s="2">
        <v>7</v>
      </c>
      <c r="F478" s="2">
        <v>18655</v>
      </c>
      <c r="G478" s="3" t="s">
        <v>1188</v>
      </c>
      <c r="H478" s="35">
        <v>16789.5</v>
      </c>
      <c r="I478" s="2">
        <v>13325</v>
      </c>
      <c r="J478" s="34">
        <v>41650</v>
      </c>
      <c r="K478">
        <f t="shared" si="7"/>
        <v>16789.5</v>
      </c>
    </row>
    <row r="479" spans="1:11" x14ac:dyDescent="0.2">
      <c r="A479" s="32" t="s">
        <v>42</v>
      </c>
      <c r="B479" s="6" t="s">
        <v>158</v>
      </c>
      <c r="C479" s="6">
        <v>1916</v>
      </c>
      <c r="D479" s="33">
        <v>120</v>
      </c>
      <c r="E479" s="2">
        <v>125</v>
      </c>
      <c r="F479" s="2" t="s">
        <v>453</v>
      </c>
      <c r="G479" s="3" t="s">
        <v>1189</v>
      </c>
      <c r="H479" s="35" t="s">
        <v>1190</v>
      </c>
      <c r="I479" s="2" t="s">
        <v>1191</v>
      </c>
      <c r="J479" s="34">
        <v>41286</v>
      </c>
      <c r="K479">
        <f t="shared" si="7"/>
        <v>215550</v>
      </c>
    </row>
    <row r="480" spans="1:11" x14ac:dyDescent="0.2">
      <c r="A480" s="32" t="s">
        <v>137</v>
      </c>
      <c r="B480" s="6" t="s">
        <v>158</v>
      </c>
      <c r="C480" s="6">
        <v>853</v>
      </c>
      <c r="D480" s="33">
        <v>120</v>
      </c>
      <c r="E480" s="2">
        <v>300</v>
      </c>
      <c r="F480" s="2" t="s">
        <v>1192</v>
      </c>
      <c r="G480" s="3" t="s">
        <v>1193</v>
      </c>
      <c r="H480" s="35" t="s">
        <v>1194</v>
      </c>
      <c r="I480" s="2" t="s">
        <v>639</v>
      </c>
      <c r="J480" s="34">
        <v>41651</v>
      </c>
      <c r="K480">
        <f t="shared" si="7"/>
        <v>230310</v>
      </c>
    </row>
    <row r="481" spans="1:11" x14ac:dyDescent="0.2">
      <c r="A481" s="32" t="s">
        <v>103</v>
      </c>
      <c r="B481" s="6" t="s">
        <v>158</v>
      </c>
      <c r="C481" s="6">
        <v>341</v>
      </c>
      <c r="D481" s="33">
        <v>250</v>
      </c>
      <c r="E481" s="2">
        <v>125</v>
      </c>
      <c r="F481" s="2">
        <v>42625</v>
      </c>
      <c r="G481" s="3" t="s">
        <v>1195</v>
      </c>
      <c r="H481" s="35">
        <v>38362.5</v>
      </c>
      <c r="I481" s="2">
        <v>40920</v>
      </c>
      <c r="J481" s="34">
        <v>41644</v>
      </c>
      <c r="K481">
        <f t="shared" si="7"/>
        <v>38362.5</v>
      </c>
    </row>
    <row r="482" spans="1:11" x14ac:dyDescent="0.2">
      <c r="A482" s="32" t="s">
        <v>120</v>
      </c>
      <c r="B482" s="6" t="s">
        <v>158</v>
      </c>
      <c r="C482" s="6">
        <v>641</v>
      </c>
      <c r="D482" s="33">
        <v>250</v>
      </c>
      <c r="E482" s="2">
        <v>15</v>
      </c>
      <c r="F482" s="2">
        <v>9615</v>
      </c>
      <c r="G482" s="3" t="s">
        <v>1196</v>
      </c>
      <c r="H482" s="35">
        <v>8653.5</v>
      </c>
      <c r="I482" s="2">
        <v>6410</v>
      </c>
      <c r="J482" s="34">
        <v>41646</v>
      </c>
      <c r="K482">
        <f t="shared" si="7"/>
        <v>8653.5</v>
      </c>
    </row>
    <row r="483" spans="1:11" x14ac:dyDescent="0.2">
      <c r="A483" s="32" t="s">
        <v>105</v>
      </c>
      <c r="B483" s="6" t="s">
        <v>158</v>
      </c>
      <c r="C483" s="6">
        <v>2807</v>
      </c>
      <c r="D483" s="33">
        <v>250</v>
      </c>
      <c r="E483" s="2">
        <v>350</v>
      </c>
      <c r="F483" s="2" t="s">
        <v>1197</v>
      </c>
      <c r="G483" s="3" t="s">
        <v>1198</v>
      </c>
      <c r="H483" s="35" t="s">
        <v>1199</v>
      </c>
      <c r="I483" s="2" t="s">
        <v>1200</v>
      </c>
      <c r="J483" s="34">
        <v>41647</v>
      </c>
      <c r="K483">
        <f t="shared" si="7"/>
        <v>884205</v>
      </c>
    </row>
    <row r="484" spans="1:11" x14ac:dyDescent="0.2">
      <c r="A484" s="32" t="s">
        <v>82</v>
      </c>
      <c r="B484" s="6" t="s">
        <v>158</v>
      </c>
      <c r="C484" s="6">
        <v>432</v>
      </c>
      <c r="D484" s="33">
        <v>250</v>
      </c>
      <c r="E484" s="2">
        <v>300</v>
      </c>
      <c r="F484" s="2" t="s">
        <v>1201</v>
      </c>
      <c r="G484" s="3" t="s">
        <v>1202</v>
      </c>
      <c r="H484" s="35" t="s">
        <v>1203</v>
      </c>
      <c r="I484" s="2" t="s">
        <v>1204</v>
      </c>
      <c r="J484" s="34">
        <v>41648</v>
      </c>
      <c r="K484">
        <f t="shared" si="7"/>
        <v>116640</v>
      </c>
    </row>
    <row r="485" spans="1:11" x14ac:dyDescent="0.2">
      <c r="A485" s="32" t="s">
        <v>113</v>
      </c>
      <c r="B485" s="6" t="s">
        <v>158</v>
      </c>
      <c r="C485" s="6">
        <v>2294</v>
      </c>
      <c r="D485" s="33">
        <v>250</v>
      </c>
      <c r="E485" s="2">
        <v>300</v>
      </c>
      <c r="F485" s="2" t="s">
        <v>1184</v>
      </c>
      <c r="G485" s="3" t="s">
        <v>1185</v>
      </c>
      <c r="H485" s="35" t="s">
        <v>1186</v>
      </c>
      <c r="I485" s="2" t="s">
        <v>1187</v>
      </c>
      <c r="J485" s="34">
        <v>41284</v>
      </c>
      <c r="K485">
        <f t="shared" si="7"/>
        <v>619380</v>
      </c>
    </row>
    <row r="486" spans="1:11" x14ac:dyDescent="0.2">
      <c r="A486" s="32" t="s">
        <v>45</v>
      </c>
      <c r="B486" s="6" t="s">
        <v>158</v>
      </c>
      <c r="C486" s="6">
        <v>2167</v>
      </c>
      <c r="D486" s="33">
        <v>250</v>
      </c>
      <c r="E486" s="2">
        <v>15</v>
      </c>
      <c r="F486" s="2">
        <v>32505</v>
      </c>
      <c r="G486" s="3" t="s">
        <v>1171</v>
      </c>
      <c r="H486" s="35">
        <v>29254.5</v>
      </c>
      <c r="I486" s="2">
        <v>21670</v>
      </c>
      <c r="J486" s="34">
        <v>41284</v>
      </c>
      <c r="K486">
        <f t="shared" si="7"/>
        <v>29254.5</v>
      </c>
    </row>
    <row r="487" spans="1:11" x14ac:dyDescent="0.2">
      <c r="A487" s="32" t="s">
        <v>104</v>
      </c>
      <c r="B487" s="6" t="s">
        <v>158</v>
      </c>
      <c r="C487" s="6">
        <v>2529</v>
      </c>
      <c r="D487" s="33">
        <v>250</v>
      </c>
      <c r="E487" s="2">
        <v>125</v>
      </c>
      <c r="F487" s="2" t="s">
        <v>1205</v>
      </c>
      <c r="G487" s="3" t="s">
        <v>1206</v>
      </c>
      <c r="H487" s="35" t="s">
        <v>1207</v>
      </c>
      <c r="I487" s="2" t="s">
        <v>1208</v>
      </c>
      <c r="J487" s="34">
        <v>41650</v>
      </c>
      <c r="K487">
        <f t="shared" si="7"/>
        <v>284512.5</v>
      </c>
    </row>
    <row r="488" spans="1:11" x14ac:dyDescent="0.2">
      <c r="A488" s="32" t="s">
        <v>78</v>
      </c>
      <c r="B488" s="6" t="s">
        <v>158</v>
      </c>
      <c r="C488" s="6">
        <v>1870</v>
      </c>
      <c r="D488" s="33">
        <v>250</v>
      </c>
      <c r="E488" s="2">
        <v>350</v>
      </c>
      <c r="F488" s="2" t="s">
        <v>1209</v>
      </c>
      <c r="G488" s="3" t="s">
        <v>1210</v>
      </c>
      <c r="H488" s="35" t="s">
        <v>1211</v>
      </c>
      <c r="I488" s="2" t="s">
        <v>1212</v>
      </c>
      <c r="J488" s="34">
        <v>41286</v>
      </c>
      <c r="K488">
        <f t="shared" si="7"/>
        <v>589050</v>
      </c>
    </row>
    <row r="489" spans="1:11" x14ac:dyDescent="0.2">
      <c r="A489" s="32" t="s">
        <v>159</v>
      </c>
      <c r="B489" s="6" t="s">
        <v>158</v>
      </c>
      <c r="C489" s="6">
        <v>579</v>
      </c>
      <c r="D489" s="33">
        <v>260</v>
      </c>
      <c r="E489" s="2">
        <v>125</v>
      </c>
      <c r="F489" s="2">
        <v>72375</v>
      </c>
      <c r="G489" s="3" t="s">
        <v>1213</v>
      </c>
      <c r="H489" s="35">
        <v>65137.5</v>
      </c>
      <c r="I489" s="2">
        <v>69480</v>
      </c>
      <c r="J489" s="34">
        <v>41640</v>
      </c>
      <c r="K489">
        <f t="shared" si="7"/>
        <v>65137.5</v>
      </c>
    </row>
    <row r="490" spans="1:11" x14ac:dyDescent="0.2">
      <c r="A490" s="32" t="s">
        <v>123</v>
      </c>
      <c r="B490" s="6" t="s">
        <v>158</v>
      </c>
      <c r="C490" s="6">
        <v>2240</v>
      </c>
      <c r="D490" s="33">
        <v>260</v>
      </c>
      <c r="E490" s="2">
        <v>350</v>
      </c>
      <c r="F490" s="2" t="s">
        <v>1214</v>
      </c>
      <c r="G490" s="3" t="s">
        <v>1215</v>
      </c>
      <c r="H490" s="35" t="s">
        <v>1216</v>
      </c>
      <c r="I490" s="2" t="s">
        <v>1217</v>
      </c>
      <c r="J490" s="34">
        <v>41641</v>
      </c>
      <c r="K490">
        <f t="shared" si="7"/>
        <v>705600</v>
      </c>
    </row>
    <row r="491" spans="1:11" x14ac:dyDescent="0.2">
      <c r="A491" s="32" t="s">
        <v>147</v>
      </c>
      <c r="B491" s="6" t="s">
        <v>158</v>
      </c>
      <c r="C491" s="6">
        <v>2993</v>
      </c>
      <c r="D491" s="33">
        <v>260</v>
      </c>
      <c r="E491" s="2">
        <v>300</v>
      </c>
      <c r="F491" s="2" t="s">
        <v>1218</v>
      </c>
      <c r="G491" s="3" t="s">
        <v>1219</v>
      </c>
      <c r="H491" s="35" t="s">
        <v>1220</v>
      </c>
      <c r="I491" s="2" t="s">
        <v>1221</v>
      </c>
      <c r="J491" s="34">
        <v>41642</v>
      </c>
      <c r="K491">
        <f t="shared" si="7"/>
        <v>808110</v>
      </c>
    </row>
    <row r="492" spans="1:11" x14ac:dyDescent="0.2">
      <c r="A492" s="32" t="s">
        <v>160</v>
      </c>
      <c r="B492" s="6" t="s">
        <v>158</v>
      </c>
      <c r="C492" s="6">
        <v>3520.5</v>
      </c>
      <c r="D492" s="33">
        <v>260</v>
      </c>
      <c r="E492" s="2">
        <v>12</v>
      </c>
      <c r="F492" s="2">
        <v>42246</v>
      </c>
      <c r="G492" s="3" t="s">
        <v>1222</v>
      </c>
      <c r="H492" s="35">
        <v>38021.4</v>
      </c>
      <c r="I492" s="2">
        <v>10561.5</v>
      </c>
      <c r="J492" s="34">
        <v>41643</v>
      </c>
      <c r="K492">
        <f t="shared" si="7"/>
        <v>38021.4</v>
      </c>
    </row>
    <row r="493" spans="1:11" x14ac:dyDescent="0.2">
      <c r="A493" s="32" t="s">
        <v>121</v>
      </c>
      <c r="B493" s="6" t="s">
        <v>158</v>
      </c>
      <c r="C493" s="6">
        <v>2039</v>
      </c>
      <c r="D493" s="33">
        <v>260</v>
      </c>
      <c r="E493" s="2">
        <v>20</v>
      </c>
      <c r="F493" s="2">
        <v>40780</v>
      </c>
      <c r="G493" s="3" t="s">
        <v>1223</v>
      </c>
      <c r="H493" s="35">
        <v>36702</v>
      </c>
      <c r="I493" s="2">
        <v>20390</v>
      </c>
      <c r="J493" s="34">
        <v>41644</v>
      </c>
      <c r="K493">
        <f t="shared" si="7"/>
        <v>36702</v>
      </c>
    </row>
    <row r="494" spans="1:11" x14ac:dyDescent="0.2">
      <c r="A494" s="32" t="s">
        <v>161</v>
      </c>
      <c r="B494" s="6" t="s">
        <v>158</v>
      </c>
      <c r="C494" s="6">
        <v>2574</v>
      </c>
      <c r="D494" s="33">
        <v>260</v>
      </c>
      <c r="E494" s="2">
        <v>12</v>
      </c>
      <c r="F494" s="2">
        <v>30888</v>
      </c>
      <c r="G494" s="3" t="s">
        <v>1224</v>
      </c>
      <c r="H494" s="35">
        <v>27799.200000000001</v>
      </c>
      <c r="I494" s="2">
        <v>7722</v>
      </c>
      <c r="J494" s="34">
        <v>41647</v>
      </c>
      <c r="K494">
        <f t="shared" si="7"/>
        <v>27799.200000000001</v>
      </c>
    </row>
    <row r="495" spans="1:11" x14ac:dyDescent="0.2">
      <c r="A495" s="32" t="s">
        <v>123</v>
      </c>
      <c r="B495" s="6" t="s">
        <v>158</v>
      </c>
      <c r="C495" s="6">
        <v>707</v>
      </c>
      <c r="D495" s="33">
        <v>260</v>
      </c>
      <c r="E495" s="2">
        <v>350</v>
      </c>
      <c r="F495" s="2" t="s">
        <v>1225</v>
      </c>
      <c r="G495" s="3" t="s">
        <v>1226</v>
      </c>
      <c r="H495" s="35" t="s">
        <v>1227</v>
      </c>
      <c r="I495" s="2" t="s">
        <v>1228</v>
      </c>
      <c r="J495" s="34">
        <v>41648</v>
      </c>
      <c r="K495">
        <f t="shared" si="7"/>
        <v>222705</v>
      </c>
    </row>
    <row r="496" spans="1:11" x14ac:dyDescent="0.2">
      <c r="A496" s="32" t="s">
        <v>84</v>
      </c>
      <c r="B496" s="6" t="s">
        <v>158</v>
      </c>
      <c r="C496" s="6">
        <v>2072</v>
      </c>
      <c r="D496" s="33">
        <v>260</v>
      </c>
      <c r="E496" s="2">
        <v>15</v>
      </c>
      <c r="F496" s="2">
        <v>31080</v>
      </c>
      <c r="G496" s="3" t="s">
        <v>1165</v>
      </c>
      <c r="H496" s="35">
        <v>27972</v>
      </c>
      <c r="I496" s="2">
        <v>20720</v>
      </c>
      <c r="J496" s="34">
        <v>41651</v>
      </c>
      <c r="K496">
        <f t="shared" si="7"/>
        <v>27972</v>
      </c>
    </row>
    <row r="497" spans="1:11" x14ac:dyDescent="0.2">
      <c r="A497" s="32" t="s">
        <v>162</v>
      </c>
      <c r="B497" s="6" t="s">
        <v>158</v>
      </c>
      <c r="C497" s="6">
        <v>853</v>
      </c>
      <c r="D497" s="33">
        <v>260</v>
      </c>
      <c r="E497" s="2">
        <v>300</v>
      </c>
      <c r="F497" s="2" t="s">
        <v>1192</v>
      </c>
      <c r="G497" s="3" t="s">
        <v>1193</v>
      </c>
      <c r="H497" s="35" t="s">
        <v>1194</v>
      </c>
      <c r="I497" s="2" t="s">
        <v>639</v>
      </c>
      <c r="J497" s="34">
        <v>41651</v>
      </c>
      <c r="K497">
        <f t="shared" si="7"/>
        <v>230310</v>
      </c>
    </row>
    <row r="498" spans="1:11" x14ac:dyDescent="0.2">
      <c r="A498" s="32" t="s">
        <v>64</v>
      </c>
      <c r="B498" s="6" t="s">
        <v>158</v>
      </c>
      <c r="C498" s="6">
        <v>1198</v>
      </c>
      <c r="D498" s="33">
        <v>3</v>
      </c>
      <c r="E498" s="2">
        <v>12</v>
      </c>
      <c r="F498" s="2">
        <v>14376</v>
      </c>
      <c r="G498" s="3" t="s">
        <v>1229</v>
      </c>
      <c r="H498" s="35">
        <v>12794.64</v>
      </c>
      <c r="I498" s="2">
        <v>3594</v>
      </c>
      <c r="J498" s="34">
        <v>41284</v>
      </c>
      <c r="K498">
        <f t="shared" si="7"/>
        <v>12794.64</v>
      </c>
    </row>
    <row r="499" spans="1:11" x14ac:dyDescent="0.2">
      <c r="A499" s="32" t="s">
        <v>56</v>
      </c>
      <c r="B499" s="6" t="s">
        <v>158</v>
      </c>
      <c r="C499" s="6">
        <v>2532</v>
      </c>
      <c r="D499" s="33">
        <v>10</v>
      </c>
      <c r="E499" s="2">
        <v>7</v>
      </c>
      <c r="F499" s="2">
        <v>17724</v>
      </c>
      <c r="G499" s="3" t="s">
        <v>1230</v>
      </c>
      <c r="H499" s="35">
        <v>15774.36</v>
      </c>
      <c r="I499" s="2">
        <v>12660</v>
      </c>
      <c r="J499" s="34">
        <v>41643</v>
      </c>
      <c r="K499">
        <f t="shared" si="7"/>
        <v>15774.36</v>
      </c>
    </row>
    <row r="500" spans="1:11" x14ac:dyDescent="0.2">
      <c r="A500" s="32" t="s">
        <v>94</v>
      </c>
      <c r="B500" s="6" t="s">
        <v>158</v>
      </c>
      <c r="C500" s="6">
        <v>1198</v>
      </c>
      <c r="D500" s="33">
        <v>10</v>
      </c>
      <c r="E500" s="2">
        <v>12</v>
      </c>
      <c r="F500" s="2">
        <v>14376</v>
      </c>
      <c r="G500" s="3" t="s">
        <v>1229</v>
      </c>
      <c r="H500" s="35">
        <v>12794.64</v>
      </c>
      <c r="I500" s="2">
        <v>3594</v>
      </c>
      <c r="J500" s="34">
        <v>41284</v>
      </c>
      <c r="K500">
        <f t="shared" si="7"/>
        <v>12794.64</v>
      </c>
    </row>
    <row r="501" spans="1:11" x14ac:dyDescent="0.2">
      <c r="A501" s="32" t="s">
        <v>141</v>
      </c>
      <c r="B501" s="6" t="s">
        <v>158</v>
      </c>
      <c r="C501" s="6">
        <v>384</v>
      </c>
      <c r="D501" s="33">
        <v>120</v>
      </c>
      <c r="E501" s="2">
        <v>15</v>
      </c>
      <c r="F501" s="2">
        <v>5760</v>
      </c>
      <c r="G501" s="3" t="s">
        <v>1231</v>
      </c>
      <c r="H501" s="35">
        <v>5126.3999999999996</v>
      </c>
      <c r="I501" s="2">
        <v>3840</v>
      </c>
      <c r="J501" s="34">
        <v>41640</v>
      </c>
      <c r="K501">
        <f t="shared" si="7"/>
        <v>5126.3999999999996</v>
      </c>
    </row>
    <row r="502" spans="1:11" x14ac:dyDescent="0.2">
      <c r="A502" s="32" t="s">
        <v>39</v>
      </c>
      <c r="B502" s="6" t="s">
        <v>158</v>
      </c>
      <c r="C502" s="6">
        <v>472</v>
      </c>
      <c r="D502" s="33">
        <v>120</v>
      </c>
      <c r="E502" s="2">
        <v>12</v>
      </c>
      <c r="F502" s="2">
        <v>5664</v>
      </c>
      <c r="G502" s="3" t="s">
        <v>1232</v>
      </c>
      <c r="H502" s="35">
        <v>5040.96</v>
      </c>
      <c r="I502" s="2">
        <v>1416</v>
      </c>
      <c r="J502" s="34">
        <v>41649</v>
      </c>
      <c r="K502">
        <f t="shared" si="7"/>
        <v>5040.96</v>
      </c>
    </row>
    <row r="503" spans="1:11" x14ac:dyDescent="0.2">
      <c r="A503" s="32" t="s">
        <v>105</v>
      </c>
      <c r="B503" s="6" t="s">
        <v>158</v>
      </c>
      <c r="C503" s="6">
        <v>1579</v>
      </c>
      <c r="D503" s="33">
        <v>250</v>
      </c>
      <c r="E503" s="2">
        <v>7</v>
      </c>
      <c r="F503" s="2">
        <v>11053</v>
      </c>
      <c r="G503" s="3" t="s">
        <v>1233</v>
      </c>
      <c r="H503" s="35">
        <v>9837.17</v>
      </c>
      <c r="I503" s="2">
        <v>7895</v>
      </c>
      <c r="J503" s="34">
        <v>41642</v>
      </c>
      <c r="K503">
        <f t="shared" si="7"/>
        <v>9837.17</v>
      </c>
    </row>
    <row r="504" spans="1:11" x14ac:dyDescent="0.2">
      <c r="A504" s="32" t="s">
        <v>114</v>
      </c>
      <c r="B504" s="6" t="s">
        <v>158</v>
      </c>
      <c r="C504" s="6">
        <v>1005</v>
      </c>
      <c r="D504" s="33">
        <v>250</v>
      </c>
      <c r="E504" s="2">
        <v>12</v>
      </c>
      <c r="F504" s="2">
        <v>12060</v>
      </c>
      <c r="G504" s="3" t="s">
        <v>1234</v>
      </c>
      <c r="H504" s="35">
        <v>10733.4</v>
      </c>
      <c r="I504" s="2">
        <v>3015</v>
      </c>
      <c r="J504" s="34">
        <v>41283</v>
      </c>
      <c r="K504">
        <f t="shared" si="7"/>
        <v>10733.4</v>
      </c>
    </row>
    <row r="505" spans="1:11" x14ac:dyDescent="0.2">
      <c r="A505" s="32" t="s">
        <v>55</v>
      </c>
      <c r="B505" s="6" t="s">
        <v>158</v>
      </c>
      <c r="C505" s="6">
        <v>3199.5</v>
      </c>
      <c r="D505" s="33">
        <v>260</v>
      </c>
      <c r="E505" s="2">
        <v>15</v>
      </c>
      <c r="F505" s="2">
        <v>47992.5</v>
      </c>
      <c r="G505" s="3" t="s">
        <v>1235</v>
      </c>
      <c r="H505" s="35">
        <v>42713.33</v>
      </c>
      <c r="I505" s="2">
        <v>31995</v>
      </c>
      <c r="J505" s="34">
        <v>41646</v>
      </c>
      <c r="K505">
        <f t="shared" si="7"/>
        <v>42713.33</v>
      </c>
    </row>
    <row r="506" spans="1:11" x14ac:dyDescent="0.2">
      <c r="A506" s="32" t="s">
        <v>161</v>
      </c>
      <c r="B506" s="6" t="s">
        <v>158</v>
      </c>
      <c r="C506" s="6">
        <v>472</v>
      </c>
      <c r="D506" s="33">
        <v>260</v>
      </c>
      <c r="E506" s="2">
        <v>12</v>
      </c>
      <c r="F506" s="2">
        <v>5664</v>
      </c>
      <c r="G506" s="3" t="s">
        <v>1232</v>
      </c>
      <c r="H506" s="35">
        <v>5040.96</v>
      </c>
      <c r="I506" s="2">
        <v>1416</v>
      </c>
      <c r="J506" s="34">
        <v>41649</v>
      </c>
      <c r="K506">
        <f t="shared" si="7"/>
        <v>5040.96</v>
      </c>
    </row>
    <row r="507" spans="1:11" x14ac:dyDescent="0.2">
      <c r="A507" s="32" t="s">
        <v>62</v>
      </c>
      <c r="B507" s="6" t="s">
        <v>158</v>
      </c>
      <c r="C507" s="6">
        <v>1937</v>
      </c>
      <c r="D507" s="33">
        <v>3</v>
      </c>
      <c r="E507" s="2">
        <v>12</v>
      </c>
      <c r="F507" s="2">
        <v>23244</v>
      </c>
      <c r="G507" s="3" t="s">
        <v>1236</v>
      </c>
      <c r="H507" s="35">
        <v>20687.16</v>
      </c>
      <c r="I507" s="2">
        <v>5811</v>
      </c>
      <c r="J507" s="34">
        <v>41641</v>
      </c>
      <c r="K507">
        <f t="shared" si="7"/>
        <v>20687.16</v>
      </c>
    </row>
    <row r="508" spans="1:11" x14ac:dyDescent="0.2">
      <c r="A508" s="32" t="s">
        <v>13</v>
      </c>
      <c r="B508" s="6" t="s">
        <v>158</v>
      </c>
      <c r="C508" s="6">
        <v>792</v>
      </c>
      <c r="D508" s="33">
        <v>3</v>
      </c>
      <c r="E508" s="2">
        <v>350</v>
      </c>
      <c r="F508" s="2" t="s">
        <v>1237</v>
      </c>
      <c r="G508" s="3" t="s">
        <v>1238</v>
      </c>
      <c r="H508" s="35" t="s">
        <v>1239</v>
      </c>
      <c r="I508" s="2" t="s">
        <v>1240</v>
      </c>
      <c r="J508" s="34">
        <v>41642</v>
      </c>
      <c r="K508">
        <f t="shared" si="7"/>
        <v>246708</v>
      </c>
    </row>
    <row r="509" spans="1:11" x14ac:dyDescent="0.2">
      <c r="A509" s="32" t="s">
        <v>86</v>
      </c>
      <c r="B509" s="6" t="s">
        <v>158</v>
      </c>
      <c r="C509" s="6">
        <v>2811</v>
      </c>
      <c r="D509" s="33">
        <v>3</v>
      </c>
      <c r="E509" s="2">
        <v>300</v>
      </c>
      <c r="F509" s="2" t="s">
        <v>1241</v>
      </c>
      <c r="G509" s="3" t="s">
        <v>1242</v>
      </c>
      <c r="H509" s="35" t="s">
        <v>1243</v>
      </c>
      <c r="I509" s="2" t="s">
        <v>1244</v>
      </c>
      <c r="J509" s="34">
        <v>41646</v>
      </c>
      <c r="K509">
        <f t="shared" si="7"/>
        <v>750537</v>
      </c>
    </row>
    <row r="510" spans="1:11" x14ac:dyDescent="0.2">
      <c r="A510" s="32" t="s">
        <v>109</v>
      </c>
      <c r="B510" s="6" t="s">
        <v>158</v>
      </c>
      <c r="C510" s="6">
        <v>2441</v>
      </c>
      <c r="D510" s="33">
        <v>3</v>
      </c>
      <c r="E510" s="2">
        <v>125</v>
      </c>
      <c r="F510" s="2" t="s">
        <v>1245</v>
      </c>
      <c r="G510" s="3" t="s">
        <v>1246</v>
      </c>
      <c r="H510" s="35" t="s">
        <v>1247</v>
      </c>
      <c r="I510" s="2" t="s">
        <v>1248</v>
      </c>
      <c r="J510" s="34">
        <v>41649</v>
      </c>
      <c r="K510">
        <f t="shared" si="7"/>
        <v>271561.25</v>
      </c>
    </row>
    <row r="511" spans="1:11" x14ac:dyDescent="0.2">
      <c r="A511" s="32" t="s">
        <v>132</v>
      </c>
      <c r="B511" s="6" t="s">
        <v>158</v>
      </c>
      <c r="C511" s="6">
        <v>1560</v>
      </c>
      <c r="D511" s="33">
        <v>3</v>
      </c>
      <c r="E511" s="2">
        <v>15</v>
      </c>
      <c r="F511" s="2">
        <v>23400</v>
      </c>
      <c r="G511" s="3" t="s">
        <v>1249</v>
      </c>
      <c r="H511" s="35">
        <v>20826</v>
      </c>
      <c r="I511" s="2">
        <v>15600</v>
      </c>
      <c r="J511" s="34">
        <v>41285</v>
      </c>
      <c r="K511">
        <f t="shared" si="7"/>
        <v>20826</v>
      </c>
    </row>
    <row r="512" spans="1:11" x14ac:dyDescent="0.2">
      <c r="A512" s="32" t="s">
        <v>60</v>
      </c>
      <c r="B512" s="6" t="s">
        <v>158</v>
      </c>
      <c r="C512" s="6">
        <v>2706</v>
      </c>
      <c r="D512" s="33">
        <v>3</v>
      </c>
      <c r="E512" s="2">
        <v>7</v>
      </c>
      <c r="F512" s="2">
        <v>18942</v>
      </c>
      <c r="G512" s="3" t="s">
        <v>1250</v>
      </c>
      <c r="H512" s="35">
        <v>16858.38</v>
      </c>
      <c r="I512" s="2">
        <v>13530</v>
      </c>
      <c r="J512" s="34">
        <v>41285</v>
      </c>
      <c r="K512">
        <f t="shared" si="7"/>
        <v>16858.38</v>
      </c>
    </row>
    <row r="513" spans="1:11" x14ac:dyDescent="0.2">
      <c r="A513" s="32" t="s">
        <v>24</v>
      </c>
      <c r="B513" s="6" t="s">
        <v>158</v>
      </c>
      <c r="C513" s="6">
        <v>766</v>
      </c>
      <c r="D513" s="33">
        <v>5</v>
      </c>
      <c r="E513" s="2">
        <v>350</v>
      </c>
      <c r="F513" s="2" t="s">
        <v>1251</v>
      </c>
      <c r="G513" s="3" t="s">
        <v>1252</v>
      </c>
      <c r="H513" s="35" t="s">
        <v>1253</v>
      </c>
      <c r="I513" s="2" t="s">
        <v>1254</v>
      </c>
      <c r="J513" s="34">
        <v>41640</v>
      </c>
      <c r="K513">
        <f t="shared" si="7"/>
        <v>238609</v>
      </c>
    </row>
    <row r="514" spans="1:11" x14ac:dyDescent="0.2">
      <c r="A514" s="32" t="s">
        <v>24</v>
      </c>
      <c r="B514" s="6" t="s">
        <v>158</v>
      </c>
      <c r="C514" s="6">
        <v>2992</v>
      </c>
      <c r="D514" s="33">
        <v>5</v>
      </c>
      <c r="E514" s="2">
        <v>20</v>
      </c>
      <c r="F514" s="2">
        <v>59840</v>
      </c>
      <c r="G514" s="3" t="s">
        <v>1255</v>
      </c>
      <c r="H514" s="35">
        <v>53257.599999999999</v>
      </c>
      <c r="I514" s="2">
        <v>29920</v>
      </c>
      <c r="J514" s="34">
        <v>41284</v>
      </c>
      <c r="K514">
        <f t="shared" si="7"/>
        <v>53257.599999999999</v>
      </c>
    </row>
    <row r="515" spans="1:11" x14ac:dyDescent="0.2">
      <c r="A515" s="32" t="s">
        <v>21</v>
      </c>
      <c r="B515" s="6" t="s">
        <v>158</v>
      </c>
      <c r="C515" s="6">
        <v>2157</v>
      </c>
      <c r="D515" s="33">
        <v>5</v>
      </c>
      <c r="E515" s="2">
        <v>15</v>
      </c>
      <c r="F515" s="2">
        <v>32355</v>
      </c>
      <c r="G515" s="3" t="s">
        <v>1256</v>
      </c>
      <c r="H515" s="35">
        <v>28795.95</v>
      </c>
      <c r="I515" s="2">
        <v>21570</v>
      </c>
      <c r="J515" s="34">
        <v>41651</v>
      </c>
      <c r="K515">
        <f t="shared" si="7"/>
        <v>28795.95</v>
      </c>
    </row>
    <row r="516" spans="1:11" x14ac:dyDescent="0.2">
      <c r="A516" s="32" t="s">
        <v>95</v>
      </c>
      <c r="B516" s="6" t="s">
        <v>158</v>
      </c>
      <c r="C516" s="6">
        <v>873</v>
      </c>
      <c r="D516" s="33">
        <v>10</v>
      </c>
      <c r="E516" s="2">
        <v>300</v>
      </c>
      <c r="F516" s="2" t="s">
        <v>1257</v>
      </c>
      <c r="G516" s="3" t="s">
        <v>1258</v>
      </c>
      <c r="H516" s="35" t="s">
        <v>1259</v>
      </c>
      <c r="I516" s="2" t="s">
        <v>1260</v>
      </c>
      <c r="J516" s="34">
        <v>41640</v>
      </c>
      <c r="K516">
        <f t="shared" si="7"/>
        <v>233091</v>
      </c>
    </row>
    <row r="517" spans="1:11" x14ac:dyDescent="0.2">
      <c r="A517" s="32" t="s">
        <v>31</v>
      </c>
      <c r="B517" s="6" t="s">
        <v>158</v>
      </c>
      <c r="C517" s="6">
        <v>1122</v>
      </c>
      <c r="D517" s="33">
        <v>10</v>
      </c>
      <c r="E517" s="2">
        <v>20</v>
      </c>
      <c r="F517" s="2">
        <v>22440</v>
      </c>
      <c r="G517" s="3" t="s">
        <v>1261</v>
      </c>
      <c r="H517" s="35">
        <v>19971.599999999999</v>
      </c>
      <c r="I517" s="2">
        <v>11220</v>
      </c>
      <c r="J517" s="34">
        <v>41642</v>
      </c>
      <c r="K517">
        <f t="shared" ref="K517:K580" si="8">_xlfn.NUMBERVALUE(SUBSTITUTE(H517," $","",1))</f>
        <v>19971.599999999999</v>
      </c>
    </row>
    <row r="518" spans="1:11" x14ac:dyDescent="0.2">
      <c r="A518" s="32" t="s">
        <v>26</v>
      </c>
      <c r="B518" s="6" t="s">
        <v>158</v>
      </c>
      <c r="C518" s="6">
        <v>2104.5</v>
      </c>
      <c r="D518" s="33">
        <v>10</v>
      </c>
      <c r="E518" s="2">
        <v>350</v>
      </c>
      <c r="F518" s="2" t="s">
        <v>1262</v>
      </c>
      <c r="G518" s="3" t="s">
        <v>1263</v>
      </c>
      <c r="H518" s="35" t="s">
        <v>1264</v>
      </c>
      <c r="I518" s="2" t="s">
        <v>1265</v>
      </c>
      <c r="J518" s="34">
        <v>41646</v>
      </c>
      <c r="K518">
        <f t="shared" si="8"/>
        <v>655551.75</v>
      </c>
    </row>
    <row r="519" spans="1:11" x14ac:dyDescent="0.2">
      <c r="A519" s="32" t="s">
        <v>28</v>
      </c>
      <c r="B519" s="6" t="s">
        <v>158</v>
      </c>
      <c r="C519" s="6">
        <v>4026</v>
      </c>
      <c r="D519" s="33">
        <v>10</v>
      </c>
      <c r="E519" s="2">
        <v>12</v>
      </c>
      <c r="F519" s="2">
        <v>48312</v>
      </c>
      <c r="G519" s="3" t="s">
        <v>1266</v>
      </c>
      <c r="H519" s="35">
        <v>42997.68</v>
      </c>
      <c r="I519" s="2">
        <v>12078</v>
      </c>
      <c r="J519" s="34">
        <v>41646</v>
      </c>
      <c r="K519">
        <f t="shared" si="8"/>
        <v>42997.68</v>
      </c>
    </row>
    <row r="520" spans="1:11" x14ac:dyDescent="0.2">
      <c r="A520" s="32" t="s">
        <v>94</v>
      </c>
      <c r="B520" s="6" t="s">
        <v>158</v>
      </c>
      <c r="C520" s="6">
        <v>2425.5</v>
      </c>
      <c r="D520" s="33">
        <v>10</v>
      </c>
      <c r="E520" s="2">
        <v>12</v>
      </c>
      <c r="F520" s="2">
        <v>29106</v>
      </c>
      <c r="G520" s="3" t="s">
        <v>1267</v>
      </c>
      <c r="H520" s="35">
        <v>25904.34</v>
      </c>
      <c r="I520" s="2">
        <v>7276.5</v>
      </c>
      <c r="J520" s="34">
        <v>41646</v>
      </c>
      <c r="K520">
        <f t="shared" si="8"/>
        <v>25904.34</v>
      </c>
    </row>
    <row r="521" spans="1:11" x14ac:dyDescent="0.2">
      <c r="A521" s="32" t="s">
        <v>26</v>
      </c>
      <c r="B521" s="6" t="s">
        <v>158</v>
      </c>
      <c r="C521" s="6">
        <v>2394</v>
      </c>
      <c r="D521" s="33">
        <v>10</v>
      </c>
      <c r="E521" s="2">
        <v>20</v>
      </c>
      <c r="F521" s="2">
        <v>47880</v>
      </c>
      <c r="G521" s="3" t="s">
        <v>1268</v>
      </c>
      <c r="H521" s="35">
        <v>42613.2</v>
      </c>
      <c r="I521" s="2">
        <v>23940</v>
      </c>
      <c r="J521" s="34">
        <v>41647</v>
      </c>
      <c r="K521">
        <f t="shared" si="8"/>
        <v>42613.2</v>
      </c>
    </row>
    <row r="522" spans="1:11" x14ac:dyDescent="0.2">
      <c r="A522" s="32" t="s">
        <v>27</v>
      </c>
      <c r="B522" s="6" t="s">
        <v>158</v>
      </c>
      <c r="C522" s="6">
        <v>1984</v>
      </c>
      <c r="D522" s="33">
        <v>10</v>
      </c>
      <c r="E522" s="2">
        <v>15</v>
      </c>
      <c r="F522" s="2">
        <v>29760</v>
      </c>
      <c r="G522" s="3" t="s">
        <v>1269</v>
      </c>
      <c r="H522" s="35">
        <v>26486.400000000001</v>
      </c>
      <c r="I522" s="2">
        <v>19840</v>
      </c>
      <c r="J522" s="34">
        <v>41647</v>
      </c>
      <c r="K522">
        <f t="shared" si="8"/>
        <v>26486.400000000001</v>
      </c>
    </row>
    <row r="523" spans="1:11" x14ac:dyDescent="0.2">
      <c r="A523" s="32" t="s">
        <v>73</v>
      </c>
      <c r="B523" s="6" t="s">
        <v>158</v>
      </c>
      <c r="C523" s="6">
        <v>2441</v>
      </c>
      <c r="D523" s="33">
        <v>10</v>
      </c>
      <c r="E523" s="2">
        <v>125</v>
      </c>
      <c r="F523" s="2" t="s">
        <v>1245</v>
      </c>
      <c r="G523" s="3" t="s">
        <v>1246</v>
      </c>
      <c r="H523" s="35" t="s">
        <v>1247</v>
      </c>
      <c r="I523" s="2" t="s">
        <v>1248</v>
      </c>
      <c r="J523" s="34">
        <v>41649</v>
      </c>
      <c r="K523">
        <f t="shared" si="8"/>
        <v>271561.25</v>
      </c>
    </row>
    <row r="524" spans="1:11" x14ac:dyDescent="0.2">
      <c r="A524" s="32" t="s">
        <v>29</v>
      </c>
      <c r="B524" s="6" t="s">
        <v>158</v>
      </c>
      <c r="C524" s="6">
        <v>2992</v>
      </c>
      <c r="D524" s="33">
        <v>10</v>
      </c>
      <c r="E524" s="2">
        <v>20</v>
      </c>
      <c r="F524" s="2">
        <v>59840</v>
      </c>
      <c r="G524" s="3" t="s">
        <v>1255</v>
      </c>
      <c r="H524" s="35">
        <v>53257.599999999999</v>
      </c>
      <c r="I524" s="2">
        <v>29920</v>
      </c>
      <c r="J524" s="34">
        <v>41284</v>
      </c>
      <c r="K524">
        <f t="shared" si="8"/>
        <v>53257.599999999999</v>
      </c>
    </row>
    <row r="525" spans="1:11" x14ac:dyDescent="0.2">
      <c r="A525" s="32" t="s">
        <v>95</v>
      </c>
      <c r="B525" s="6" t="s">
        <v>158</v>
      </c>
      <c r="C525" s="6">
        <v>1366</v>
      </c>
      <c r="D525" s="33">
        <v>10</v>
      </c>
      <c r="E525" s="2">
        <v>300</v>
      </c>
      <c r="F525" s="2" t="s">
        <v>1270</v>
      </c>
      <c r="G525" s="3" t="s">
        <v>1271</v>
      </c>
      <c r="H525" s="35" t="s">
        <v>1272</v>
      </c>
      <c r="I525" s="2" t="s">
        <v>1273</v>
      </c>
      <c r="J525" s="34">
        <v>41650</v>
      </c>
      <c r="K525">
        <f t="shared" si="8"/>
        <v>364722</v>
      </c>
    </row>
    <row r="526" spans="1:11" x14ac:dyDescent="0.2">
      <c r="A526" s="32" t="s">
        <v>58</v>
      </c>
      <c r="B526" s="6" t="s">
        <v>158</v>
      </c>
      <c r="C526" s="6">
        <v>2805</v>
      </c>
      <c r="D526" s="33">
        <v>120</v>
      </c>
      <c r="E526" s="2">
        <v>20</v>
      </c>
      <c r="F526" s="2">
        <v>56100</v>
      </c>
      <c r="G526" s="3" t="s">
        <v>1274</v>
      </c>
      <c r="H526" s="35">
        <v>49929</v>
      </c>
      <c r="I526" s="2">
        <v>28050</v>
      </c>
      <c r="J526" s="34">
        <v>41283</v>
      </c>
      <c r="K526">
        <f t="shared" si="8"/>
        <v>49929</v>
      </c>
    </row>
    <row r="527" spans="1:11" x14ac:dyDescent="0.2">
      <c r="A527" s="32" t="s">
        <v>130</v>
      </c>
      <c r="B527" s="6" t="s">
        <v>158</v>
      </c>
      <c r="C527" s="6">
        <v>655</v>
      </c>
      <c r="D527" s="33">
        <v>120</v>
      </c>
      <c r="E527" s="2">
        <v>15</v>
      </c>
      <c r="F527" s="2">
        <v>9825</v>
      </c>
      <c r="G527" s="3" t="s">
        <v>1275</v>
      </c>
      <c r="H527" s="35">
        <v>8744.25</v>
      </c>
      <c r="I527" s="2">
        <v>6550</v>
      </c>
      <c r="J527" s="34">
        <v>41283</v>
      </c>
      <c r="K527">
        <f t="shared" si="8"/>
        <v>8744.25</v>
      </c>
    </row>
    <row r="528" spans="1:11" x14ac:dyDescent="0.2">
      <c r="A528" s="32" t="s">
        <v>37</v>
      </c>
      <c r="B528" s="6" t="s">
        <v>158</v>
      </c>
      <c r="C528" s="6">
        <v>344</v>
      </c>
      <c r="D528" s="33">
        <v>120</v>
      </c>
      <c r="E528" s="2">
        <v>350</v>
      </c>
      <c r="F528" s="2" t="s">
        <v>1276</v>
      </c>
      <c r="G528" s="3" t="s">
        <v>1277</v>
      </c>
      <c r="H528" s="35" t="s">
        <v>1278</v>
      </c>
      <c r="I528" s="2">
        <v>89440</v>
      </c>
      <c r="J528" s="34">
        <v>41284</v>
      </c>
      <c r="K528">
        <f t="shared" si="8"/>
        <v>107156</v>
      </c>
    </row>
    <row r="529" spans="1:11" x14ac:dyDescent="0.2">
      <c r="A529" s="32" t="s">
        <v>77</v>
      </c>
      <c r="B529" s="6" t="s">
        <v>158</v>
      </c>
      <c r="C529" s="6">
        <v>1808</v>
      </c>
      <c r="D529" s="33">
        <v>120</v>
      </c>
      <c r="E529" s="2">
        <v>7</v>
      </c>
      <c r="F529" s="2">
        <v>12656</v>
      </c>
      <c r="G529" s="3" t="s">
        <v>1279</v>
      </c>
      <c r="H529" s="35">
        <v>11263.84</v>
      </c>
      <c r="I529" s="2">
        <v>9040</v>
      </c>
      <c r="J529" s="34">
        <v>41650</v>
      </c>
      <c r="K529">
        <f t="shared" si="8"/>
        <v>11263.84</v>
      </c>
    </row>
    <row r="530" spans="1:11" x14ac:dyDescent="0.2">
      <c r="A530" s="32" t="s">
        <v>119</v>
      </c>
      <c r="B530" s="6" t="s">
        <v>158</v>
      </c>
      <c r="C530" s="6">
        <v>1734</v>
      </c>
      <c r="D530" s="33">
        <v>250</v>
      </c>
      <c r="E530" s="2">
        <v>12</v>
      </c>
      <c r="F530" s="2">
        <v>20808</v>
      </c>
      <c r="G530" s="3" t="s">
        <v>1280</v>
      </c>
      <c r="H530" s="35">
        <v>18519.12</v>
      </c>
      <c r="I530" s="2">
        <v>5202</v>
      </c>
      <c r="J530" s="34">
        <v>41640</v>
      </c>
      <c r="K530">
        <f t="shared" si="8"/>
        <v>18519.12</v>
      </c>
    </row>
    <row r="531" spans="1:11" x14ac:dyDescent="0.2">
      <c r="A531" s="32" t="s">
        <v>103</v>
      </c>
      <c r="B531" s="6" t="s">
        <v>158</v>
      </c>
      <c r="C531" s="6">
        <v>554</v>
      </c>
      <c r="D531" s="33">
        <v>250</v>
      </c>
      <c r="E531" s="2">
        <v>125</v>
      </c>
      <c r="F531" s="2">
        <v>69250</v>
      </c>
      <c r="G531" s="3" t="s">
        <v>1281</v>
      </c>
      <c r="H531" s="35">
        <v>61632.5</v>
      </c>
      <c r="I531" s="2">
        <v>66480</v>
      </c>
      <c r="J531" s="34">
        <v>41640</v>
      </c>
      <c r="K531">
        <f t="shared" si="8"/>
        <v>61632.5</v>
      </c>
    </row>
    <row r="532" spans="1:11" x14ac:dyDescent="0.2">
      <c r="A532" s="32" t="s">
        <v>49</v>
      </c>
      <c r="B532" s="6" t="s">
        <v>158</v>
      </c>
      <c r="C532" s="6">
        <v>2935</v>
      </c>
      <c r="D532" s="33">
        <v>250</v>
      </c>
      <c r="E532" s="2">
        <v>20</v>
      </c>
      <c r="F532" s="2">
        <v>58700</v>
      </c>
      <c r="G532" s="3" t="s">
        <v>1282</v>
      </c>
      <c r="H532" s="35">
        <v>52243</v>
      </c>
      <c r="I532" s="2">
        <v>29350</v>
      </c>
      <c r="J532" s="34">
        <v>41285</v>
      </c>
      <c r="K532">
        <f t="shared" si="8"/>
        <v>52243</v>
      </c>
    </row>
    <row r="533" spans="1:11" x14ac:dyDescent="0.2">
      <c r="A533" s="32" t="s">
        <v>52</v>
      </c>
      <c r="B533" s="6" t="s">
        <v>158</v>
      </c>
      <c r="C533" s="6">
        <v>3165</v>
      </c>
      <c r="D533" s="33">
        <v>260</v>
      </c>
      <c r="E533" s="2">
        <v>125</v>
      </c>
      <c r="F533" s="2" t="s">
        <v>1283</v>
      </c>
      <c r="G533" s="3" t="s">
        <v>1284</v>
      </c>
      <c r="H533" s="35" t="s">
        <v>1285</v>
      </c>
      <c r="I533" s="2" t="s">
        <v>1286</v>
      </c>
      <c r="J533" s="34">
        <v>41640</v>
      </c>
      <c r="K533">
        <f t="shared" si="8"/>
        <v>352106.25</v>
      </c>
    </row>
    <row r="534" spans="1:11" x14ac:dyDescent="0.2">
      <c r="A534" s="32" t="s">
        <v>121</v>
      </c>
      <c r="B534" s="6" t="s">
        <v>158</v>
      </c>
      <c r="C534" s="6">
        <v>2629</v>
      </c>
      <c r="D534" s="33">
        <v>260</v>
      </c>
      <c r="E534" s="2">
        <v>20</v>
      </c>
      <c r="F534" s="2">
        <v>52580</v>
      </c>
      <c r="G534" s="3" t="s">
        <v>1287</v>
      </c>
      <c r="H534" s="35">
        <v>46796.2</v>
      </c>
      <c r="I534" s="2">
        <v>26290</v>
      </c>
      <c r="J534" s="34">
        <v>41640</v>
      </c>
      <c r="K534">
        <f t="shared" si="8"/>
        <v>46796.2</v>
      </c>
    </row>
    <row r="535" spans="1:11" x14ac:dyDescent="0.2">
      <c r="A535" s="32" t="s">
        <v>139</v>
      </c>
      <c r="B535" s="6" t="s">
        <v>158</v>
      </c>
      <c r="C535" s="6">
        <v>1433</v>
      </c>
      <c r="D535" s="33">
        <v>260</v>
      </c>
      <c r="E535" s="2">
        <v>125</v>
      </c>
      <c r="F535" s="2" t="s">
        <v>1288</v>
      </c>
      <c r="G535" s="3" t="s">
        <v>1289</v>
      </c>
      <c r="H535" s="35" t="s">
        <v>1290</v>
      </c>
      <c r="I535" s="2" t="s">
        <v>1291</v>
      </c>
      <c r="J535" s="34">
        <v>41644</v>
      </c>
      <c r="K535">
        <f t="shared" si="8"/>
        <v>159421.25</v>
      </c>
    </row>
    <row r="536" spans="1:11" x14ac:dyDescent="0.2">
      <c r="A536" s="32" t="s">
        <v>122</v>
      </c>
      <c r="B536" s="6" t="s">
        <v>158</v>
      </c>
      <c r="C536" s="6">
        <v>947</v>
      </c>
      <c r="D536" s="33">
        <v>260</v>
      </c>
      <c r="E536" s="2">
        <v>125</v>
      </c>
      <c r="F536" s="2" t="s">
        <v>1292</v>
      </c>
      <c r="G536" s="3" t="s">
        <v>1293</v>
      </c>
      <c r="H536" s="35" t="s">
        <v>1294</v>
      </c>
      <c r="I536" s="2" t="s">
        <v>1295</v>
      </c>
      <c r="J536" s="34">
        <v>41283</v>
      </c>
      <c r="K536">
        <f t="shared" si="8"/>
        <v>105353.75</v>
      </c>
    </row>
    <row r="537" spans="1:11" x14ac:dyDescent="0.2">
      <c r="A537" s="32" t="s">
        <v>121</v>
      </c>
      <c r="B537" s="6" t="s">
        <v>158</v>
      </c>
      <c r="C537" s="6">
        <v>344</v>
      </c>
      <c r="D537" s="33">
        <v>260</v>
      </c>
      <c r="E537" s="2">
        <v>350</v>
      </c>
      <c r="F537" s="2" t="s">
        <v>1276</v>
      </c>
      <c r="G537" s="3" t="s">
        <v>1277</v>
      </c>
      <c r="H537" s="35" t="s">
        <v>1278</v>
      </c>
      <c r="I537" s="2">
        <v>89440</v>
      </c>
      <c r="J537" s="34">
        <v>41284</v>
      </c>
      <c r="K537">
        <f t="shared" si="8"/>
        <v>107156</v>
      </c>
    </row>
    <row r="538" spans="1:11" x14ac:dyDescent="0.2">
      <c r="A538" s="32" t="s">
        <v>163</v>
      </c>
      <c r="B538" s="6" t="s">
        <v>158</v>
      </c>
      <c r="C538" s="6">
        <v>2157</v>
      </c>
      <c r="D538" s="33">
        <v>260</v>
      </c>
      <c r="E538" s="2">
        <v>15</v>
      </c>
      <c r="F538" s="2">
        <v>32355</v>
      </c>
      <c r="G538" s="3" t="s">
        <v>1256</v>
      </c>
      <c r="H538" s="35">
        <v>28795.95</v>
      </c>
      <c r="I538" s="2">
        <v>21570</v>
      </c>
      <c r="J538" s="34">
        <v>41651</v>
      </c>
      <c r="K538">
        <f t="shared" si="8"/>
        <v>28795.95</v>
      </c>
    </row>
    <row r="539" spans="1:11" x14ac:dyDescent="0.2">
      <c r="A539" s="32" t="s">
        <v>34</v>
      </c>
      <c r="B539" s="6" t="s">
        <v>158</v>
      </c>
      <c r="C539" s="6">
        <v>380</v>
      </c>
      <c r="D539" s="33">
        <v>10</v>
      </c>
      <c r="E539" s="2">
        <v>7</v>
      </c>
      <c r="F539" s="2">
        <v>2660</v>
      </c>
      <c r="G539" s="3" t="s">
        <v>1296</v>
      </c>
      <c r="H539" s="35">
        <v>2367.4</v>
      </c>
      <c r="I539" s="2">
        <v>1900</v>
      </c>
      <c r="J539" s="34">
        <v>41283</v>
      </c>
      <c r="K539">
        <f t="shared" si="8"/>
        <v>2367.4</v>
      </c>
    </row>
    <row r="540" spans="1:11" x14ac:dyDescent="0.2">
      <c r="A540" s="32" t="s">
        <v>60</v>
      </c>
      <c r="B540" s="6" t="s">
        <v>158</v>
      </c>
      <c r="C540" s="6">
        <v>886</v>
      </c>
      <c r="D540" s="33">
        <v>3</v>
      </c>
      <c r="E540" s="2">
        <v>350</v>
      </c>
      <c r="F540" s="2" t="s">
        <v>1297</v>
      </c>
      <c r="G540" s="3" t="s">
        <v>1298</v>
      </c>
      <c r="H540" s="35" t="s">
        <v>1299</v>
      </c>
      <c r="I540" s="2" t="s">
        <v>1300</v>
      </c>
      <c r="J540" s="34">
        <v>41645</v>
      </c>
      <c r="K540">
        <f t="shared" si="8"/>
        <v>272888</v>
      </c>
    </row>
    <row r="541" spans="1:11" x14ac:dyDescent="0.2">
      <c r="A541" s="32" t="s">
        <v>85</v>
      </c>
      <c r="B541" s="6" t="s">
        <v>158</v>
      </c>
      <c r="C541" s="6">
        <v>2416</v>
      </c>
      <c r="D541" s="33">
        <v>3</v>
      </c>
      <c r="E541" s="2">
        <v>125</v>
      </c>
      <c r="F541" s="2" t="s">
        <v>1301</v>
      </c>
      <c r="G541" s="3" t="s">
        <v>1302</v>
      </c>
      <c r="H541" s="35" t="s">
        <v>1303</v>
      </c>
      <c r="I541" s="2" t="s">
        <v>1304</v>
      </c>
      <c r="J541" s="34">
        <v>41283</v>
      </c>
      <c r="K541">
        <f t="shared" si="8"/>
        <v>265760</v>
      </c>
    </row>
    <row r="542" spans="1:11" x14ac:dyDescent="0.2">
      <c r="A542" s="32" t="s">
        <v>148</v>
      </c>
      <c r="B542" s="6" t="s">
        <v>158</v>
      </c>
      <c r="C542" s="6">
        <v>2156</v>
      </c>
      <c r="D542" s="33">
        <v>3</v>
      </c>
      <c r="E542" s="2">
        <v>125</v>
      </c>
      <c r="F542" s="2" t="s">
        <v>1305</v>
      </c>
      <c r="G542" s="3" t="s">
        <v>1306</v>
      </c>
      <c r="H542" s="35" t="s">
        <v>1307</v>
      </c>
      <c r="I542" s="2" t="s">
        <v>1308</v>
      </c>
      <c r="J542" s="34">
        <v>41649</v>
      </c>
      <c r="K542">
        <f t="shared" si="8"/>
        <v>237160</v>
      </c>
    </row>
    <row r="543" spans="1:11" x14ac:dyDescent="0.2">
      <c r="A543" s="32" t="s">
        <v>132</v>
      </c>
      <c r="B543" s="6" t="s">
        <v>158</v>
      </c>
      <c r="C543" s="6">
        <v>2689</v>
      </c>
      <c r="D543" s="33">
        <v>3</v>
      </c>
      <c r="E543" s="2">
        <v>15</v>
      </c>
      <c r="F543" s="2">
        <v>40335</v>
      </c>
      <c r="G543" s="3" t="s">
        <v>1309</v>
      </c>
      <c r="H543" s="35">
        <v>35494.800000000003</v>
      </c>
      <c r="I543" s="2">
        <v>26890</v>
      </c>
      <c r="J543" s="34">
        <v>41650</v>
      </c>
      <c r="K543">
        <f t="shared" si="8"/>
        <v>35494.800000000003</v>
      </c>
    </row>
    <row r="544" spans="1:11" x14ac:dyDescent="0.2">
      <c r="A544" s="32" t="s">
        <v>25</v>
      </c>
      <c r="B544" s="6" t="s">
        <v>158</v>
      </c>
      <c r="C544" s="6">
        <v>677</v>
      </c>
      <c r="D544" s="33">
        <v>5</v>
      </c>
      <c r="E544" s="2">
        <v>15</v>
      </c>
      <c r="F544" s="2">
        <v>10155</v>
      </c>
      <c r="G544" s="3" t="s">
        <v>678</v>
      </c>
      <c r="H544" s="35">
        <v>8936.4</v>
      </c>
      <c r="I544" s="2">
        <v>6770</v>
      </c>
      <c r="J544" s="34">
        <v>41642</v>
      </c>
      <c r="K544">
        <f t="shared" si="8"/>
        <v>8936.4</v>
      </c>
    </row>
    <row r="545" spans="1:11" x14ac:dyDescent="0.2">
      <c r="A545" s="32" t="s">
        <v>143</v>
      </c>
      <c r="B545" s="6" t="s">
        <v>158</v>
      </c>
      <c r="C545" s="6">
        <v>1773</v>
      </c>
      <c r="D545" s="33">
        <v>5</v>
      </c>
      <c r="E545" s="2">
        <v>300</v>
      </c>
      <c r="F545" s="2" t="s">
        <v>1310</v>
      </c>
      <c r="G545" s="3" t="s">
        <v>1311</v>
      </c>
      <c r="H545" s="35" t="s">
        <v>1312</v>
      </c>
      <c r="I545" s="2" t="s">
        <v>1313</v>
      </c>
      <c r="J545" s="34">
        <v>41643</v>
      </c>
      <c r="K545">
        <f t="shared" si="8"/>
        <v>468072</v>
      </c>
    </row>
    <row r="546" spans="1:11" x14ac:dyDescent="0.2">
      <c r="A546" s="32" t="s">
        <v>128</v>
      </c>
      <c r="B546" s="6" t="s">
        <v>158</v>
      </c>
      <c r="C546" s="6">
        <v>2420</v>
      </c>
      <c r="D546" s="33">
        <v>5</v>
      </c>
      <c r="E546" s="2">
        <v>7</v>
      </c>
      <c r="F546" s="2">
        <v>16940</v>
      </c>
      <c r="G546" s="3" t="s">
        <v>1314</v>
      </c>
      <c r="H546" s="35">
        <v>14907.2</v>
      </c>
      <c r="I546" s="2">
        <v>12100</v>
      </c>
      <c r="J546" s="34">
        <v>41648</v>
      </c>
      <c r="K546">
        <f t="shared" si="8"/>
        <v>14907.2</v>
      </c>
    </row>
    <row r="547" spans="1:11" x14ac:dyDescent="0.2">
      <c r="A547" s="32" t="s">
        <v>69</v>
      </c>
      <c r="B547" s="6" t="s">
        <v>158</v>
      </c>
      <c r="C547" s="6">
        <v>2734</v>
      </c>
      <c r="D547" s="33">
        <v>5</v>
      </c>
      <c r="E547" s="2">
        <v>7</v>
      </c>
      <c r="F547" s="2">
        <v>19138</v>
      </c>
      <c r="G547" s="3" t="s">
        <v>1315</v>
      </c>
      <c r="H547" s="35">
        <v>16841.439999999999</v>
      </c>
      <c r="I547" s="2">
        <v>13670</v>
      </c>
      <c r="J547" s="34">
        <v>41649</v>
      </c>
      <c r="K547">
        <f t="shared" si="8"/>
        <v>16841.439999999999</v>
      </c>
    </row>
    <row r="548" spans="1:11" x14ac:dyDescent="0.2">
      <c r="A548" s="32" t="s">
        <v>128</v>
      </c>
      <c r="B548" s="6" t="s">
        <v>158</v>
      </c>
      <c r="C548" s="6">
        <v>1715</v>
      </c>
      <c r="D548" s="33">
        <v>5</v>
      </c>
      <c r="E548" s="2">
        <v>20</v>
      </c>
      <c r="F548" s="2">
        <v>34300</v>
      </c>
      <c r="G548" s="3" t="s">
        <v>1316</v>
      </c>
      <c r="H548" s="35">
        <v>30184</v>
      </c>
      <c r="I548" s="2">
        <v>17150</v>
      </c>
      <c r="J548" s="34">
        <v>41284</v>
      </c>
      <c r="K548">
        <f t="shared" si="8"/>
        <v>30184</v>
      </c>
    </row>
    <row r="549" spans="1:11" x14ac:dyDescent="0.2">
      <c r="A549" s="32" t="s">
        <v>143</v>
      </c>
      <c r="B549" s="6" t="s">
        <v>158</v>
      </c>
      <c r="C549" s="6">
        <v>1186</v>
      </c>
      <c r="D549" s="33">
        <v>5</v>
      </c>
      <c r="E549" s="2">
        <v>300</v>
      </c>
      <c r="F549" s="2" t="s">
        <v>1317</v>
      </c>
      <c r="G549" s="3" t="s">
        <v>1318</v>
      </c>
      <c r="H549" s="35" t="s">
        <v>1319</v>
      </c>
      <c r="I549" s="2" t="s">
        <v>1320</v>
      </c>
      <c r="J549" s="34">
        <v>41286</v>
      </c>
      <c r="K549">
        <f t="shared" si="8"/>
        <v>313104</v>
      </c>
    </row>
    <row r="550" spans="1:11" x14ac:dyDescent="0.2">
      <c r="A550" s="32" t="s">
        <v>76</v>
      </c>
      <c r="B550" s="6" t="s">
        <v>158</v>
      </c>
      <c r="C550" s="6">
        <v>3495</v>
      </c>
      <c r="D550" s="33">
        <v>10</v>
      </c>
      <c r="E550" s="2">
        <v>300</v>
      </c>
      <c r="F550" s="2" t="s">
        <v>1321</v>
      </c>
      <c r="G550" s="3" t="s">
        <v>1322</v>
      </c>
      <c r="H550" s="35" t="s">
        <v>1323</v>
      </c>
      <c r="I550" s="2" t="s">
        <v>1324</v>
      </c>
      <c r="J550" s="34">
        <v>41640</v>
      </c>
      <c r="K550">
        <f t="shared" si="8"/>
        <v>922680</v>
      </c>
    </row>
    <row r="551" spans="1:11" x14ac:dyDescent="0.2">
      <c r="A551" s="32" t="s">
        <v>31</v>
      </c>
      <c r="B551" s="6" t="s">
        <v>158</v>
      </c>
      <c r="C551" s="6">
        <v>886</v>
      </c>
      <c r="D551" s="33">
        <v>10</v>
      </c>
      <c r="E551" s="2">
        <v>350</v>
      </c>
      <c r="F551" s="2" t="s">
        <v>1297</v>
      </c>
      <c r="G551" s="3" t="s">
        <v>1298</v>
      </c>
      <c r="H551" s="35" t="s">
        <v>1299</v>
      </c>
      <c r="I551" s="2" t="s">
        <v>1300</v>
      </c>
      <c r="J551" s="34">
        <v>41645</v>
      </c>
      <c r="K551">
        <f t="shared" si="8"/>
        <v>272888</v>
      </c>
    </row>
    <row r="552" spans="1:11" x14ac:dyDescent="0.2">
      <c r="A552" s="32" t="s">
        <v>74</v>
      </c>
      <c r="B552" s="6" t="s">
        <v>158</v>
      </c>
      <c r="C552" s="6">
        <v>2156</v>
      </c>
      <c r="D552" s="33">
        <v>10</v>
      </c>
      <c r="E552" s="2">
        <v>125</v>
      </c>
      <c r="F552" s="2" t="s">
        <v>1305</v>
      </c>
      <c r="G552" s="3" t="s">
        <v>1306</v>
      </c>
      <c r="H552" s="35" t="s">
        <v>1307</v>
      </c>
      <c r="I552" s="2" t="s">
        <v>1308</v>
      </c>
      <c r="J552" s="34">
        <v>41649</v>
      </c>
      <c r="K552">
        <f t="shared" si="8"/>
        <v>237160</v>
      </c>
    </row>
    <row r="553" spans="1:11" x14ac:dyDescent="0.2">
      <c r="A553" s="32" t="s">
        <v>31</v>
      </c>
      <c r="B553" s="6" t="s">
        <v>158</v>
      </c>
      <c r="C553" s="6">
        <v>905</v>
      </c>
      <c r="D553" s="33">
        <v>10</v>
      </c>
      <c r="E553" s="2">
        <v>20</v>
      </c>
      <c r="F553" s="2">
        <v>18100</v>
      </c>
      <c r="G553" s="3" t="s">
        <v>1325</v>
      </c>
      <c r="H553" s="35">
        <v>15928</v>
      </c>
      <c r="I553" s="2">
        <v>9050</v>
      </c>
      <c r="J553" s="34">
        <v>41649</v>
      </c>
      <c r="K553">
        <f t="shared" si="8"/>
        <v>15928</v>
      </c>
    </row>
    <row r="554" spans="1:11" x14ac:dyDescent="0.2">
      <c r="A554" s="32" t="s">
        <v>31</v>
      </c>
      <c r="B554" s="6" t="s">
        <v>158</v>
      </c>
      <c r="C554" s="6">
        <v>1715</v>
      </c>
      <c r="D554" s="33">
        <v>10</v>
      </c>
      <c r="E554" s="2">
        <v>20</v>
      </c>
      <c r="F554" s="2">
        <v>34300</v>
      </c>
      <c r="G554" s="3" t="s">
        <v>1316</v>
      </c>
      <c r="H554" s="35">
        <v>30184</v>
      </c>
      <c r="I554" s="2">
        <v>17150</v>
      </c>
      <c r="J554" s="34">
        <v>41284</v>
      </c>
      <c r="K554">
        <f t="shared" si="8"/>
        <v>30184</v>
      </c>
    </row>
    <row r="555" spans="1:11" x14ac:dyDescent="0.2">
      <c r="A555" s="32" t="s">
        <v>56</v>
      </c>
      <c r="B555" s="6" t="s">
        <v>158</v>
      </c>
      <c r="C555" s="6">
        <v>1594</v>
      </c>
      <c r="D555" s="33">
        <v>10</v>
      </c>
      <c r="E555" s="2">
        <v>350</v>
      </c>
      <c r="F555" s="2" t="s">
        <v>1326</v>
      </c>
      <c r="G555" s="3" t="s">
        <v>1327</v>
      </c>
      <c r="H555" s="35" t="s">
        <v>1328</v>
      </c>
      <c r="I555" s="2" t="s">
        <v>1329</v>
      </c>
      <c r="J555" s="34">
        <v>41650</v>
      </c>
      <c r="K555">
        <f t="shared" si="8"/>
        <v>490952</v>
      </c>
    </row>
    <row r="556" spans="1:11" x14ac:dyDescent="0.2">
      <c r="A556" s="32" t="s">
        <v>92</v>
      </c>
      <c r="B556" s="6" t="s">
        <v>158</v>
      </c>
      <c r="C556" s="6">
        <v>1359</v>
      </c>
      <c r="D556" s="33">
        <v>10</v>
      </c>
      <c r="E556" s="2">
        <v>300</v>
      </c>
      <c r="F556" s="2" t="s">
        <v>1330</v>
      </c>
      <c r="G556" s="3" t="s">
        <v>1331</v>
      </c>
      <c r="H556" s="35" t="s">
        <v>1332</v>
      </c>
      <c r="I556" s="2" t="s">
        <v>1333</v>
      </c>
      <c r="J556" s="34">
        <v>41650</v>
      </c>
      <c r="K556">
        <f t="shared" si="8"/>
        <v>358776</v>
      </c>
    </row>
    <row r="557" spans="1:11" x14ac:dyDescent="0.2">
      <c r="A557" s="32" t="s">
        <v>33</v>
      </c>
      <c r="B557" s="6" t="s">
        <v>158</v>
      </c>
      <c r="C557" s="6">
        <v>2150</v>
      </c>
      <c r="D557" s="33">
        <v>10</v>
      </c>
      <c r="E557" s="2">
        <v>300</v>
      </c>
      <c r="F557" s="2" t="s">
        <v>1334</v>
      </c>
      <c r="G557" s="3" t="s">
        <v>1335</v>
      </c>
      <c r="H557" s="35" t="s">
        <v>1336</v>
      </c>
      <c r="I557" s="2" t="s">
        <v>1337</v>
      </c>
      <c r="J557" s="34">
        <v>41650</v>
      </c>
      <c r="K557">
        <f t="shared" si="8"/>
        <v>567600</v>
      </c>
    </row>
    <row r="558" spans="1:11" x14ac:dyDescent="0.2">
      <c r="A558" s="32" t="s">
        <v>31</v>
      </c>
      <c r="B558" s="6" t="s">
        <v>158</v>
      </c>
      <c r="C558" s="6">
        <v>1197</v>
      </c>
      <c r="D558" s="33">
        <v>10</v>
      </c>
      <c r="E558" s="2">
        <v>350</v>
      </c>
      <c r="F558" s="2" t="s">
        <v>1338</v>
      </c>
      <c r="G558" s="3" t="s">
        <v>1339</v>
      </c>
      <c r="H558" s="35" t="s">
        <v>1340</v>
      </c>
      <c r="I558" s="2" t="s">
        <v>1341</v>
      </c>
      <c r="J558" s="34">
        <v>41650</v>
      </c>
      <c r="K558">
        <f t="shared" si="8"/>
        <v>368676</v>
      </c>
    </row>
    <row r="559" spans="1:11" x14ac:dyDescent="0.2">
      <c r="A559" s="32" t="s">
        <v>27</v>
      </c>
      <c r="B559" s="6" t="s">
        <v>158</v>
      </c>
      <c r="C559" s="6">
        <v>380</v>
      </c>
      <c r="D559" s="33">
        <v>10</v>
      </c>
      <c r="E559" s="2">
        <v>15</v>
      </c>
      <c r="F559" s="2">
        <v>5700</v>
      </c>
      <c r="G559" s="3" t="s">
        <v>1342</v>
      </c>
      <c r="H559" s="35">
        <v>5016</v>
      </c>
      <c r="I559" s="2">
        <v>3800</v>
      </c>
      <c r="J559" s="34">
        <v>41286</v>
      </c>
      <c r="K559">
        <f t="shared" si="8"/>
        <v>5016</v>
      </c>
    </row>
    <row r="560" spans="1:11" x14ac:dyDescent="0.2">
      <c r="A560" s="32" t="s">
        <v>31</v>
      </c>
      <c r="B560" s="6" t="s">
        <v>158</v>
      </c>
      <c r="C560" s="6">
        <v>1233</v>
      </c>
      <c r="D560" s="33">
        <v>10</v>
      </c>
      <c r="E560" s="2">
        <v>20</v>
      </c>
      <c r="F560" s="2">
        <v>24660</v>
      </c>
      <c r="G560" s="3" t="s">
        <v>1343</v>
      </c>
      <c r="H560" s="35">
        <v>21700.799999999999</v>
      </c>
      <c r="I560" s="2">
        <v>12330</v>
      </c>
      <c r="J560" s="34">
        <v>41651</v>
      </c>
      <c r="K560">
        <f t="shared" si="8"/>
        <v>21700.799999999999</v>
      </c>
    </row>
    <row r="561" spans="1:11" x14ac:dyDescent="0.2">
      <c r="A561" s="32" t="s">
        <v>37</v>
      </c>
      <c r="B561" s="6" t="s">
        <v>158</v>
      </c>
      <c r="C561" s="6">
        <v>1395</v>
      </c>
      <c r="D561" s="33">
        <v>120</v>
      </c>
      <c r="E561" s="2">
        <v>350</v>
      </c>
      <c r="F561" s="2" t="s">
        <v>1344</v>
      </c>
      <c r="G561" s="3" t="s">
        <v>1345</v>
      </c>
      <c r="H561" s="35" t="s">
        <v>1346</v>
      </c>
      <c r="I561" s="2" t="s">
        <v>1347</v>
      </c>
      <c r="J561" s="34">
        <v>41646</v>
      </c>
      <c r="K561">
        <f t="shared" si="8"/>
        <v>429660</v>
      </c>
    </row>
    <row r="562" spans="1:11" x14ac:dyDescent="0.2">
      <c r="A562" s="32" t="s">
        <v>98</v>
      </c>
      <c r="B562" s="6" t="s">
        <v>158</v>
      </c>
      <c r="C562" s="6">
        <v>986</v>
      </c>
      <c r="D562" s="33">
        <v>120</v>
      </c>
      <c r="E562" s="2">
        <v>350</v>
      </c>
      <c r="F562" s="2" t="s">
        <v>1348</v>
      </c>
      <c r="G562" s="3" t="s">
        <v>1349</v>
      </c>
      <c r="H562" s="35" t="s">
        <v>1350</v>
      </c>
      <c r="I562" s="2" t="s">
        <v>1351</v>
      </c>
      <c r="J562" s="34">
        <v>41649</v>
      </c>
      <c r="K562">
        <f t="shared" si="8"/>
        <v>303688</v>
      </c>
    </row>
    <row r="563" spans="1:11" x14ac:dyDescent="0.2">
      <c r="A563" s="32" t="s">
        <v>37</v>
      </c>
      <c r="B563" s="6" t="s">
        <v>158</v>
      </c>
      <c r="C563" s="6">
        <v>905</v>
      </c>
      <c r="D563" s="33">
        <v>120</v>
      </c>
      <c r="E563" s="2">
        <v>20</v>
      </c>
      <c r="F563" s="2">
        <v>18100</v>
      </c>
      <c r="G563" s="3" t="s">
        <v>1325</v>
      </c>
      <c r="H563" s="35">
        <v>15928</v>
      </c>
      <c r="I563" s="2">
        <v>9050</v>
      </c>
      <c r="J563" s="34">
        <v>41649</v>
      </c>
      <c r="K563">
        <f t="shared" si="8"/>
        <v>15928</v>
      </c>
    </row>
    <row r="564" spans="1:11" x14ac:dyDescent="0.2">
      <c r="A564" s="32" t="s">
        <v>145</v>
      </c>
      <c r="B564" s="6" t="s">
        <v>158</v>
      </c>
      <c r="C564" s="6">
        <v>2109</v>
      </c>
      <c r="D564" s="33">
        <v>250</v>
      </c>
      <c r="E564" s="2">
        <v>12</v>
      </c>
      <c r="F564" s="2">
        <v>25308</v>
      </c>
      <c r="G564" s="3" t="s">
        <v>1352</v>
      </c>
      <c r="H564" s="35">
        <v>22271.040000000001</v>
      </c>
      <c r="I564" s="2">
        <v>6327</v>
      </c>
      <c r="J564" s="34">
        <v>41644</v>
      </c>
      <c r="K564">
        <f t="shared" si="8"/>
        <v>22271.040000000001</v>
      </c>
    </row>
    <row r="565" spans="1:11" x14ac:dyDescent="0.2">
      <c r="A565" s="32" t="s">
        <v>45</v>
      </c>
      <c r="B565" s="6" t="s">
        <v>158</v>
      </c>
      <c r="C565" s="6">
        <v>3874.5</v>
      </c>
      <c r="D565" s="33">
        <v>250</v>
      </c>
      <c r="E565" s="2">
        <v>15</v>
      </c>
      <c r="F565" s="2">
        <v>58117.5</v>
      </c>
      <c r="G565" s="3" t="s">
        <v>1353</v>
      </c>
      <c r="H565" s="35">
        <v>51143.4</v>
      </c>
      <c r="I565" s="2">
        <v>38745</v>
      </c>
      <c r="J565" s="34">
        <v>41646</v>
      </c>
      <c r="K565">
        <f t="shared" si="8"/>
        <v>51143.4</v>
      </c>
    </row>
    <row r="566" spans="1:11" x14ac:dyDescent="0.2">
      <c r="A566" s="32" t="s">
        <v>49</v>
      </c>
      <c r="B566" s="6" t="s">
        <v>158</v>
      </c>
      <c r="C566" s="6">
        <v>623</v>
      </c>
      <c r="D566" s="33">
        <v>250</v>
      </c>
      <c r="E566" s="2">
        <v>350</v>
      </c>
      <c r="F566" s="2" t="s">
        <v>1354</v>
      </c>
      <c r="G566" s="3" t="s">
        <v>1355</v>
      </c>
      <c r="H566" s="35" t="s">
        <v>1356</v>
      </c>
      <c r="I566" s="2" t="s">
        <v>1357</v>
      </c>
      <c r="J566" s="34">
        <v>41283</v>
      </c>
      <c r="K566">
        <f t="shared" si="8"/>
        <v>191884</v>
      </c>
    </row>
    <row r="567" spans="1:11" x14ac:dyDescent="0.2">
      <c r="A567" s="32" t="s">
        <v>105</v>
      </c>
      <c r="B567" s="6" t="s">
        <v>158</v>
      </c>
      <c r="C567" s="6">
        <v>986</v>
      </c>
      <c r="D567" s="33">
        <v>250</v>
      </c>
      <c r="E567" s="2">
        <v>350</v>
      </c>
      <c r="F567" s="2" t="s">
        <v>1348</v>
      </c>
      <c r="G567" s="3" t="s">
        <v>1349</v>
      </c>
      <c r="H567" s="35" t="s">
        <v>1350</v>
      </c>
      <c r="I567" s="2" t="s">
        <v>1351</v>
      </c>
      <c r="J567" s="34">
        <v>41649</v>
      </c>
      <c r="K567">
        <f t="shared" si="8"/>
        <v>303688</v>
      </c>
    </row>
    <row r="568" spans="1:11" x14ac:dyDescent="0.2">
      <c r="A568" s="32" t="s">
        <v>79</v>
      </c>
      <c r="B568" s="6" t="s">
        <v>158</v>
      </c>
      <c r="C568" s="6">
        <v>2387</v>
      </c>
      <c r="D568" s="33">
        <v>250</v>
      </c>
      <c r="E568" s="2">
        <v>125</v>
      </c>
      <c r="F568" s="2" t="s">
        <v>1358</v>
      </c>
      <c r="G568" s="3" t="s">
        <v>1359</v>
      </c>
      <c r="H568" s="35" t="s">
        <v>1360</v>
      </c>
      <c r="I568" s="2" t="s">
        <v>1361</v>
      </c>
      <c r="J568" s="34">
        <v>41650</v>
      </c>
      <c r="K568">
        <f t="shared" si="8"/>
        <v>262570</v>
      </c>
    </row>
    <row r="569" spans="1:11" x14ac:dyDescent="0.2">
      <c r="A569" s="32" t="s">
        <v>83</v>
      </c>
      <c r="B569" s="6" t="s">
        <v>158</v>
      </c>
      <c r="C569" s="6">
        <v>1233</v>
      </c>
      <c r="D569" s="33">
        <v>250</v>
      </c>
      <c r="E569" s="2">
        <v>20</v>
      </c>
      <c r="F569" s="2">
        <v>24660</v>
      </c>
      <c r="G569" s="3" t="s">
        <v>1343</v>
      </c>
      <c r="H569" s="35">
        <v>21700.799999999999</v>
      </c>
      <c r="I569" s="2">
        <v>12330</v>
      </c>
      <c r="J569" s="34">
        <v>41651</v>
      </c>
      <c r="K569">
        <f t="shared" si="8"/>
        <v>21700.799999999999</v>
      </c>
    </row>
    <row r="570" spans="1:11" x14ac:dyDescent="0.2">
      <c r="A570" s="32" t="s">
        <v>54</v>
      </c>
      <c r="B570" s="6" t="s">
        <v>158</v>
      </c>
      <c r="C570" s="6">
        <v>270</v>
      </c>
      <c r="D570" s="33">
        <v>260</v>
      </c>
      <c r="E570" s="2">
        <v>350</v>
      </c>
      <c r="F570" s="2">
        <v>94500</v>
      </c>
      <c r="G570" s="3" t="s">
        <v>1362</v>
      </c>
      <c r="H570" s="35">
        <v>83160</v>
      </c>
      <c r="I570" s="2">
        <v>70200</v>
      </c>
      <c r="J570" s="34">
        <v>41641</v>
      </c>
      <c r="K570">
        <f t="shared" si="8"/>
        <v>83160</v>
      </c>
    </row>
    <row r="571" spans="1:11" x14ac:dyDescent="0.2">
      <c r="A571" s="32" t="s">
        <v>50</v>
      </c>
      <c r="B571" s="6" t="s">
        <v>158</v>
      </c>
      <c r="C571" s="6">
        <v>3421.5</v>
      </c>
      <c r="D571" s="33">
        <v>260</v>
      </c>
      <c r="E571" s="2">
        <v>7</v>
      </c>
      <c r="F571" s="2">
        <v>23950.5</v>
      </c>
      <c r="G571" s="3" t="s">
        <v>1363</v>
      </c>
      <c r="H571" s="35">
        <v>21076.44</v>
      </c>
      <c r="I571" s="2">
        <v>17107.5</v>
      </c>
      <c r="J571" s="34">
        <v>41646</v>
      </c>
      <c r="K571">
        <f t="shared" si="8"/>
        <v>21076.44</v>
      </c>
    </row>
    <row r="572" spans="1:11" x14ac:dyDescent="0.2">
      <c r="A572" s="32" t="s">
        <v>123</v>
      </c>
      <c r="B572" s="6" t="s">
        <v>158</v>
      </c>
      <c r="C572" s="6">
        <v>2734</v>
      </c>
      <c r="D572" s="33">
        <v>260</v>
      </c>
      <c r="E572" s="2">
        <v>7</v>
      </c>
      <c r="F572" s="2">
        <v>19138</v>
      </c>
      <c r="G572" s="3" t="s">
        <v>1315</v>
      </c>
      <c r="H572" s="35">
        <v>16841.439999999999</v>
      </c>
      <c r="I572" s="2">
        <v>13670</v>
      </c>
      <c r="J572" s="34">
        <v>41649</v>
      </c>
      <c r="K572">
        <f t="shared" si="8"/>
        <v>16841.439999999999</v>
      </c>
    </row>
    <row r="573" spans="1:11" x14ac:dyDescent="0.2">
      <c r="A573" s="32" t="s">
        <v>55</v>
      </c>
      <c r="B573" s="6" t="s">
        <v>158</v>
      </c>
      <c r="C573" s="6">
        <v>2548</v>
      </c>
      <c r="D573" s="33">
        <v>260</v>
      </c>
      <c r="E573" s="2">
        <v>15</v>
      </c>
      <c r="F573" s="2">
        <v>38220</v>
      </c>
      <c r="G573" s="3" t="s">
        <v>1364</v>
      </c>
      <c r="H573" s="35">
        <v>33633.599999999999</v>
      </c>
      <c r="I573" s="2">
        <v>25480</v>
      </c>
      <c r="J573" s="34">
        <v>41285</v>
      </c>
      <c r="K573">
        <f t="shared" si="8"/>
        <v>33633.599999999999</v>
      </c>
    </row>
    <row r="574" spans="1:11" x14ac:dyDescent="0.2">
      <c r="A574" s="32" t="s">
        <v>67</v>
      </c>
      <c r="B574" s="6" t="s">
        <v>158</v>
      </c>
      <c r="C574" s="6">
        <v>2521.5</v>
      </c>
      <c r="D574" s="33">
        <v>3</v>
      </c>
      <c r="E574" s="2">
        <v>20</v>
      </c>
      <c r="F574" s="2">
        <v>50430</v>
      </c>
      <c r="G574" s="3" t="s">
        <v>1365</v>
      </c>
      <c r="H574" s="35">
        <v>44378.400000000001</v>
      </c>
      <c r="I574" s="2">
        <v>25215</v>
      </c>
      <c r="J574" s="34">
        <v>41640</v>
      </c>
      <c r="K574">
        <f t="shared" si="8"/>
        <v>44378.400000000001</v>
      </c>
    </row>
    <row r="575" spans="1:11" x14ac:dyDescent="0.2">
      <c r="A575" s="32" t="s">
        <v>89</v>
      </c>
      <c r="B575" s="6" t="s">
        <v>158</v>
      </c>
      <c r="C575" s="6">
        <v>2661</v>
      </c>
      <c r="D575" s="33">
        <v>5</v>
      </c>
      <c r="E575" s="2">
        <v>12</v>
      </c>
      <c r="F575" s="2">
        <v>31932</v>
      </c>
      <c r="G575" s="3" t="s">
        <v>1366</v>
      </c>
      <c r="H575" s="35">
        <v>28100.16</v>
      </c>
      <c r="I575" s="2">
        <v>7983</v>
      </c>
      <c r="J575" s="34">
        <v>41644</v>
      </c>
      <c r="K575">
        <f t="shared" si="8"/>
        <v>28100.16</v>
      </c>
    </row>
    <row r="576" spans="1:11" x14ac:dyDescent="0.2">
      <c r="A576" s="32" t="s">
        <v>29</v>
      </c>
      <c r="B576" s="6" t="s">
        <v>158</v>
      </c>
      <c r="C576" s="6">
        <v>1531</v>
      </c>
      <c r="D576" s="33">
        <v>10</v>
      </c>
      <c r="E576" s="2">
        <v>20</v>
      </c>
      <c r="F576" s="2">
        <v>30620</v>
      </c>
      <c r="G576" s="3" t="s">
        <v>1367</v>
      </c>
      <c r="H576" s="35">
        <v>26945.599999999999</v>
      </c>
      <c r="I576" s="2">
        <v>15310</v>
      </c>
      <c r="J576" s="34">
        <v>41651</v>
      </c>
      <c r="K576">
        <f t="shared" si="8"/>
        <v>26945.599999999999</v>
      </c>
    </row>
    <row r="577" spans="1:11" x14ac:dyDescent="0.2">
      <c r="A577" s="32" t="s">
        <v>47</v>
      </c>
      <c r="B577" s="6" t="s">
        <v>158</v>
      </c>
      <c r="C577" s="6">
        <v>1491</v>
      </c>
      <c r="D577" s="33">
        <v>250</v>
      </c>
      <c r="E577" s="2">
        <v>7</v>
      </c>
      <c r="F577" s="2">
        <v>10437</v>
      </c>
      <c r="G577" s="3" t="s">
        <v>1368</v>
      </c>
      <c r="H577" s="35">
        <v>9184.56</v>
      </c>
      <c r="I577" s="2">
        <v>7455</v>
      </c>
      <c r="J577" s="34">
        <v>41642</v>
      </c>
      <c r="K577">
        <f t="shared" si="8"/>
        <v>9184.56</v>
      </c>
    </row>
    <row r="578" spans="1:11" x14ac:dyDescent="0.2">
      <c r="A578" s="32" t="s">
        <v>78</v>
      </c>
      <c r="B578" s="6" t="s">
        <v>158</v>
      </c>
      <c r="C578" s="6">
        <v>1531</v>
      </c>
      <c r="D578" s="33">
        <v>250</v>
      </c>
      <c r="E578" s="2">
        <v>20</v>
      </c>
      <c r="F578" s="2">
        <v>30620</v>
      </c>
      <c r="G578" s="3" t="s">
        <v>1367</v>
      </c>
      <c r="H578" s="35">
        <v>26945.599999999999</v>
      </c>
      <c r="I578" s="2">
        <v>15310</v>
      </c>
      <c r="J578" s="34">
        <v>41651</v>
      </c>
      <c r="K578">
        <f t="shared" si="8"/>
        <v>26945.599999999999</v>
      </c>
    </row>
    <row r="579" spans="1:11" x14ac:dyDescent="0.2">
      <c r="A579" s="32" t="s">
        <v>160</v>
      </c>
      <c r="B579" s="6" t="s">
        <v>158</v>
      </c>
      <c r="C579" s="6">
        <v>2761</v>
      </c>
      <c r="D579" s="33">
        <v>260</v>
      </c>
      <c r="E579" s="2">
        <v>12</v>
      </c>
      <c r="F579" s="2">
        <v>33132</v>
      </c>
      <c r="G579" s="3" t="s">
        <v>1369</v>
      </c>
      <c r="H579" s="35">
        <v>29156.16</v>
      </c>
      <c r="I579" s="2">
        <v>8283</v>
      </c>
      <c r="J579" s="34">
        <v>41283</v>
      </c>
      <c r="K579">
        <f t="shared" si="8"/>
        <v>29156.16</v>
      </c>
    </row>
    <row r="580" spans="1:11" x14ac:dyDescent="0.2">
      <c r="A580" s="32" t="s">
        <v>134</v>
      </c>
      <c r="B580" s="6" t="s">
        <v>158</v>
      </c>
      <c r="C580" s="6">
        <v>2567</v>
      </c>
      <c r="D580" s="33">
        <v>3</v>
      </c>
      <c r="E580" s="2">
        <v>15</v>
      </c>
      <c r="F580" s="2">
        <v>38505</v>
      </c>
      <c r="G580" s="3" t="s">
        <v>1370</v>
      </c>
      <c r="H580" s="35">
        <v>33499.35</v>
      </c>
      <c r="I580" s="2">
        <v>25670</v>
      </c>
      <c r="J580" s="34">
        <v>41645</v>
      </c>
      <c r="K580">
        <f t="shared" si="8"/>
        <v>33499.35</v>
      </c>
    </row>
    <row r="581" spans="1:11" x14ac:dyDescent="0.2">
      <c r="A581" s="32" t="s">
        <v>140</v>
      </c>
      <c r="B581" s="6" t="s">
        <v>158</v>
      </c>
      <c r="C581" s="6">
        <v>2567</v>
      </c>
      <c r="D581" s="33">
        <v>250</v>
      </c>
      <c r="E581" s="2">
        <v>15</v>
      </c>
      <c r="F581" s="2">
        <v>38505</v>
      </c>
      <c r="G581" s="3" t="s">
        <v>1370</v>
      </c>
      <c r="H581" s="35">
        <v>33499.35</v>
      </c>
      <c r="I581" s="2">
        <v>25670</v>
      </c>
      <c r="J581" s="34">
        <v>41645</v>
      </c>
      <c r="K581">
        <f t="shared" ref="K581:K644" si="9">_xlfn.NUMBERVALUE(SUBSTITUTE(H581," $","",1))</f>
        <v>33499.35</v>
      </c>
    </row>
    <row r="582" spans="1:11" x14ac:dyDescent="0.2">
      <c r="A582" s="32" t="s">
        <v>11</v>
      </c>
      <c r="B582" s="6" t="s">
        <v>158</v>
      </c>
      <c r="C582" s="6">
        <v>923</v>
      </c>
      <c r="D582" s="33">
        <v>3</v>
      </c>
      <c r="E582" s="2">
        <v>350</v>
      </c>
      <c r="F582" s="2" t="s">
        <v>1371</v>
      </c>
      <c r="G582" s="3" t="s">
        <v>1372</v>
      </c>
      <c r="H582" s="35" t="s">
        <v>1373</v>
      </c>
      <c r="I582" s="2" t="s">
        <v>1374</v>
      </c>
      <c r="J582" s="34">
        <v>41642</v>
      </c>
      <c r="K582">
        <f t="shared" si="9"/>
        <v>281053.5</v>
      </c>
    </row>
    <row r="583" spans="1:11" x14ac:dyDescent="0.2">
      <c r="A583" s="32" t="s">
        <v>67</v>
      </c>
      <c r="B583" s="6" t="s">
        <v>158</v>
      </c>
      <c r="C583" s="6">
        <v>1790</v>
      </c>
      <c r="D583" s="33">
        <v>3</v>
      </c>
      <c r="E583" s="2">
        <v>350</v>
      </c>
      <c r="F583" s="2" t="s">
        <v>1375</v>
      </c>
      <c r="G583" s="3" t="s">
        <v>1376</v>
      </c>
      <c r="H583" s="35" t="s">
        <v>1377</v>
      </c>
      <c r="I583" s="2" t="s">
        <v>1378</v>
      </c>
      <c r="J583" s="34">
        <v>41642</v>
      </c>
      <c r="K583">
        <f t="shared" si="9"/>
        <v>545055</v>
      </c>
    </row>
    <row r="584" spans="1:11" x14ac:dyDescent="0.2">
      <c r="A584" s="32" t="s">
        <v>13</v>
      </c>
      <c r="B584" s="6" t="s">
        <v>158</v>
      </c>
      <c r="C584" s="6">
        <v>442</v>
      </c>
      <c r="D584" s="33">
        <v>3</v>
      </c>
      <c r="E584" s="2">
        <v>20</v>
      </c>
      <c r="F584" s="2">
        <v>8840</v>
      </c>
      <c r="G584" s="3" t="s">
        <v>1379</v>
      </c>
      <c r="H584" s="35">
        <v>7690.8</v>
      </c>
      <c r="I584" s="2">
        <v>4420</v>
      </c>
      <c r="J584" s="34">
        <v>41283</v>
      </c>
      <c r="K584">
        <f t="shared" si="9"/>
        <v>7690.8</v>
      </c>
    </row>
    <row r="585" spans="1:11" x14ac:dyDescent="0.2">
      <c r="A585" s="32" t="s">
        <v>88</v>
      </c>
      <c r="B585" s="6" t="s">
        <v>158</v>
      </c>
      <c r="C585" s="6">
        <v>982.5</v>
      </c>
      <c r="D585" s="33">
        <v>5</v>
      </c>
      <c r="E585" s="2">
        <v>350</v>
      </c>
      <c r="F585" s="2" t="s">
        <v>1380</v>
      </c>
      <c r="G585" s="3" t="s">
        <v>1381</v>
      </c>
      <c r="H585" s="35" t="s">
        <v>1382</v>
      </c>
      <c r="I585" s="2" t="s">
        <v>1383</v>
      </c>
      <c r="J585" s="34">
        <v>41640</v>
      </c>
      <c r="K585">
        <f t="shared" si="9"/>
        <v>299171.25</v>
      </c>
    </row>
    <row r="586" spans="1:11" x14ac:dyDescent="0.2">
      <c r="A586" s="32" t="s">
        <v>88</v>
      </c>
      <c r="B586" s="6" t="s">
        <v>158</v>
      </c>
      <c r="C586" s="6">
        <v>1298</v>
      </c>
      <c r="D586" s="33">
        <v>5</v>
      </c>
      <c r="E586" s="2">
        <v>7</v>
      </c>
      <c r="F586" s="2">
        <v>9086</v>
      </c>
      <c r="G586" s="3" t="s">
        <v>1384</v>
      </c>
      <c r="H586" s="35">
        <v>7904.82</v>
      </c>
      <c r="I586" s="2">
        <v>6490</v>
      </c>
      <c r="J586" s="34">
        <v>41641</v>
      </c>
      <c r="K586">
        <f t="shared" si="9"/>
        <v>7904.82</v>
      </c>
    </row>
    <row r="587" spans="1:11" x14ac:dyDescent="0.2">
      <c r="A587" s="32" t="s">
        <v>89</v>
      </c>
      <c r="B587" s="6" t="s">
        <v>158</v>
      </c>
      <c r="C587" s="6">
        <v>604</v>
      </c>
      <c r="D587" s="33">
        <v>5</v>
      </c>
      <c r="E587" s="2">
        <v>12</v>
      </c>
      <c r="F587" s="2">
        <v>7248</v>
      </c>
      <c r="G587" s="3" t="s">
        <v>1385</v>
      </c>
      <c r="H587" s="35">
        <v>6305.76</v>
      </c>
      <c r="I587" s="2">
        <v>1812</v>
      </c>
      <c r="J587" s="34">
        <v>41645</v>
      </c>
      <c r="K587">
        <f t="shared" si="9"/>
        <v>6305.76</v>
      </c>
    </row>
    <row r="588" spans="1:11" x14ac:dyDescent="0.2">
      <c r="A588" s="32" t="s">
        <v>128</v>
      </c>
      <c r="B588" s="6" t="s">
        <v>158</v>
      </c>
      <c r="C588" s="6">
        <v>2255</v>
      </c>
      <c r="D588" s="33">
        <v>5</v>
      </c>
      <c r="E588" s="2">
        <v>20</v>
      </c>
      <c r="F588" s="2">
        <v>45100</v>
      </c>
      <c r="G588" s="3" t="s">
        <v>1386</v>
      </c>
      <c r="H588" s="35">
        <v>39237</v>
      </c>
      <c r="I588" s="2">
        <v>22550</v>
      </c>
      <c r="J588" s="34">
        <v>41646</v>
      </c>
      <c r="K588">
        <f t="shared" si="9"/>
        <v>39237</v>
      </c>
    </row>
    <row r="589" spans="1:11" x14ac:dyDescent="0.2">
      <c r="A589" s="32" t="s">
        <v>69</v>
      </c>
      <c r="B589" s="6" t="s">
        <v>158</v>
      </c>
      <c r="C589" s="6">
        <v>1249</v>
      </c>
      <c r="D589" s="33">
        <v>5</v>
      </c>
      <c r="E589" s="2">
        <v>20</v>
      </c>
      <c r="F589" s="2">
        <v>24980</v>
      </c>
      <c r="G589" s="3" t="s">
        <v>1387</v>
      </c>
      <c r="H589" s="35">
        <v>21732.6</v>
      </c>
      <c r="I589" s="2">
        <v>12490</v>
      </c>
      <c r="J589" s="34">
        <v>41649</v>
      </c>
      <c r="K589">
        <f t="shared" si="9"/>
        <v>21732.6</v>
      </c>
    </row>
    <row r="590" spans="1:11" x14ac:dyDescent="0.2">
      <c r="A590" s="32" t="s">
        <v>34</v>
      </c>
      <c r="B590" s="6" t="s">
        <v>158</v>
      </c>
      <c r="C590" s="6">
        <v>1438.5</v>
      </c>
      <c r="D590" s="33">
        <v>10</v>
      </c>
      <c r="E590" s="2">
        <v>7</v>
      </c>
      <c r="F590" s="2">
        <v>10069.5</v>
      </c>
      <c r="G590" s="3" t="s">
        <v>1388</v>
      </c>
      <c r="H590" s="35">
        <v>8760.4699999999993</v>
      </c>
      <c r="I590" s="2">
        <v>7192.5</v>
      </c>
      <c r="J590" s="34">
        <v>41640</v>
      </c>
      <c r="K590">
        <f t="shared" si="9"/>
        <v>8760.4699999999993</v>
      </c>
    </row>
    <row r="591" spans="1:11" x14ac:dyDescent="0.2">
      <c r="A591" s="32" t="s">
        <v>92</v>
      </c>
      <c r="B591" s="6" t="s">
        <v>158</v>
      </c>
      <c r="C591" s="6">
        <v>807</v>
      </c>
      <c r="D591" s="33">
        <v>10</v>
      </c>
      <c r="E591" s="2">
        <v>300</v>
      </c>
      <c r="F591" s="2" t="s">
        <v>1389</v>
      </c>
      <c r="G591" s="3" t="s">
        <v>1390</v>
      </c>
      <c r="H591" s="35" t="s">
        <v>1391</v>
      </c>
      <c r="I591" s="2" t="s">
        <v>1392</v>
      </c>
      <c r="J591" s="34">
        <v>41640</v>
      </c>
      <c r="K591">
        <f t="shared" si="9"/>
        <v>210627</v>
      </c>
    </row>
    <row r="592" spans="1:11" x14ac:dyDescent="0.2">
      <c r="A592" s="32" t="s">
        <v>34</v>
      </c>
      <c r="B592" s="6" t="s">
        <v>158</v>
      </c>
      <c r="C592" s="6">
        <v>2641</v>
      </c>
      <c r="D592" s="33">
        <v>10</v>
      </c>
      <c r="E592" s="2">
        <v>20</v>
      </c>
      <c r="F592" s="2">
        <v>52820</v>
      </c>
      <c r="G592" s="3" t="s">
        <v>1393</v>
      </c>
      <c r="H592" s="35">
        <v>45953.4</v>
      </c>
      <c r="I592" s="2">
        <v>26410</v>
      </c>
      <c r="J592" s="34">
        <v>41641</v>
      </c>
      <c r="K592">
        <f t="shared" si="9"/>
        <v>45953.4</v>
      </c>
    </row>
    <row r="593" spans="1:11" x14ac:dyDescent="0.2">
      <c r="A593" s="32" t="s">
        <v>29</v>
      </c>
      <c r="B593" s="6" t="s">
        <v>158</v>
      </c>
      <c r="C593" s="6">
        <v>2708</v>
      </c>
      <c r="D593" s="33">
        <v>10</v>
      </c>
      <c r="E593" s="2">
        <v>20</v>
      </c>
      <c r="F593" s="2">
        <v>54160</v>
      </c>
      <c r="G593" s="3" t="s">
        <v>1394</v>
      </c>
      <c r="H593" s="35">
        <v>47119.199999999997</v>
      </c>
      <c r="I593" s="2">
        <v>27080</v>
      </c>
      <c r="J593" s="34">
        <v>41641</v>
      </c>
      <c r="K593">
        <f t="shared" si="9"/>
        <v>47119.199999999997</v>
      </c>
    </row>
    <row r="594" spans="1:11" x14ac:dyDescent="0.2">
      <c r="A594" s="32" t="s">
        <v>26</v>
      </c>
      <c r="B594" s="6" t="s">
        <v>158</v>
      </c>
      <c r="C594" s="6">
        <v>2632</v>
      </c>
      <c r="D594" s="33">
        <v>10</v>
      </c>
      <c r="E594" s="2">
        <v>350</v>
      </c>
      <c r="F594" s="2" t="s">
        <v>1395</v>
      </c>
      <c r="G594" s="3" t="s">
        <v>1396</v>
      </c>
      <c r="H594" s="35" t="s">
        <v>1397</v>
      </c>
      <c r="I594" s="2" t="s">
        <v>1398</v>
      </c>
      <c r="J594" s="34">
        <v>41645</v>
      </c>
      <c r="K594">
        <f t="shared" si="9"/>
        <v>801444</v>
      </c>
    </row>
    <row r="595" spans="1:11" x14ac:dyDescent="0.2">
      <c r="A595" s="32" t="s">
        <v>96</v>
      </c>
      <c r="B595" s="6" t="s">
        <v>158</v>
      </c>
      <c r="C595" s="6">
        <v>1583</v>
      </c>
      <c r="D595" s="33">
        <v>10</v>
      </c>
      <c r="E595" s="2">
        <v>125</v>
      </c>
      <c r="F595" s="2" t="s">
        <v>1399</v>
      </c>
      <c r="G595" s="3" t="s">
        <v>1400</v>
      </c>
      <c r="H595" s="35" t="s">
        <v>1401</v>
      </c>
      <c r="I595" s="2" t="s">
        <v>1402</v>
      </c>
      <c r="J595" s="34">
        <v>41645</v>
      </c>
      <c r="K595">
        <f t="shared" si="9"/>
        <v>172151.25</v>
      </c>
    </row>
    <row r="596" spans="1:11" x14ac:dyDescent="0.2">
      <c r="A596" s="32" t="s">
        <v>97</v>
      </c>
      <c r="B596" s="6" t="s">
        <v>158</v>
      </c>
      <c r="C596" s="6">
        <v>571</v>
      </c>
      <c r="D596" s="33">
        <v>10</v>
      </c>
      <c r="E596" s="2">
        <v>12</v>
      </c>
      <c r="F596" s="2">
        <v>6852</v>
      </c>
      <c r="G596" s="3" t="s">
        <v>1403</v>
      </c>
      <c r="H596" s="35">
        <v>5961.24</v>
      </c>
      <c r="I596" s="2">
        <v>1713</v>
      </c>
      <c r="J596" s="34">
        <v>41646</v>
      </c>
      <c r="K596">
        <f t="shared" si="9"/>
        <v>5961.24</v>
      </c>
    </row>
    <row r="597" spans="1:11" x14ac:dyDescent="0.2">
      <c r="A597" s="32" t="s">
        <v>56</v>
      </c>
      <c r="B597" s="6" t="s">
        <v>158</v>
      </c>
      <c r="C597" s="6">
        <v>2696</v>
      </c>
      <c r="D597" s="33">
        <v>10</v>
      </c>
      <c r="E597" s="2">
        <v>7</v>
      </c>
      <c r="F597" s="2">
        <v>18872</v>
      </c>
      <c r="G597" s="3" t="s">
        <v>1404</v>
      </c>
      <c r="H597" s="35">
        <v>16418.64</v>
      </c>
      <c r="I597" s="2">
        <v>13480</v>
      </c>
      <c r="J597" s="34">
        <v>41647</v>
      </c>
      <c r="K597">
        <f t="shared" si="9"/>
        <v>16418.64</v>
      </c>
    </row>
    <row r="598" spans="1:11" x14ac:dyDescent="0.2">
      <c r="A598" s="32" t="s">
        <v>36</v>
      </c>
      <c r="B598" s="6" t="s">
        <v>158</v>
      </c>
      <c r="C598" s="6">
        <v>1565</v>
      </c>
      <c r="D598" s="33">
        <v>10</v>
      </c>
      <c r="E598" s="2">
        <v>15</v>
      </c>
      <c r="F598" s="2">
        <v>23475</v>
      </c>
      <c r="G598" s="3" t="s">
        <v>1405</v>
      </c>
      <c r="H598" s="35">
        <v>20423.25</v>
      </c>
      <c r="I598" s="2">
        <v>15650</v>
      </c>
      <c r="J598" s="34">
        <v>41649</v>
      </c>
      <c r="K598">
        <f t="shared" si="9"/>
        <v>20423.25</v>
      </c>
    </row>
    <row r="599" spans="1:11" x14ac:dyDescent="0.2">
      <c r="A599" s="32" t="s">
        <v>26</v>
      </c>
      <c r="B599" s="6" t="s">
        <v>158</v>
      </c>
      <c r="C599" s="6">
        <v>1249</v>
      </c>
      <c r="D599" s="33">
        <v>10</v>
      </c>
      <c r="E599" s="2">
        <v>20</v>
      </c>
      <c r="F599" s="2">
        <v>24980</v>
      </c>
      <c r="G599" s="3" t="s">
        <v>1387</v>
      </c>
      <c r="H599" s="35">
        <v>21732.6</v>
      </c>
      <c r="I599" s="2">
        <v>12490</v>
      </c>
      <c r="J599" s="34">
        <v>41649</v>
      </c>
      <c r="K599">
        <f t="shared" si="9"/>
        <v>21732.6</v>
      </c>
    </row>
    <row r="600" spans="1:11" x14ac:dyDescent="0.2">
      <c r="A600" s="32" t="s">
        <v>29</v>
      </c>
      <c r="B600" s="6" t="s">
        <v>158</v>
      </c>
      <c r="C600" s="6">
        <v>357</v>
      </c>
      <c r="D600" s="33">
        <v>10</v>
      </c>
      <c r="E600" s="2">
        <v>350</v>
      </c>
      <c r="F600" s="2" t="s">
        <v>1406</v>
      </c>
      <c r="G600" s="3" t="s">
        <v>1407</v>
      </c>
      <c r="H600" s="35" t="s">
        <v>1408</v>
      </c>
      <c r="I600" s="2">
        <v>92820</v>
      </c>
      <c r="J600" s="34">
        <v>41650</v>
      </c>
      <c r="K600">
        <f t="shared" si="9"/>
        <v>108706.5</v>
      </c>
    </row>
    <row r="601" spans="1:11" x14ac:dyDescent="0.2">
      <c r="A601" s="32" t="s">
        <v>30</v>
      </c>
      <c r="B601" s="6" t="s">
        <v>158</v>
      </c>
      <c r="C601" s="6">
        <v>1013</v>
      </c>
      <c r="D601" s="33">
        <v>10</v>
      </c>
      <c r="E601" s="2">
        <v>12</v>
      </c>
      <c r="F601" s="2">
        <v>12156</v>
      </c>
      <c r="G601" s="3" t="s">
        <v>1409</v>
      </c>
      <c r="H601" s="35">
        <v>10575.72</v>
      </c>
      <c r="I601" s="2">
        <v>3039</v>
      </c>
      <c r="J601" s="34">
        <v>41651</v>
      </c>
      <c r="K601">
        <f t="shared" si="9"/>
        <v>10575.72</v>
      </c>
    </row>
    <row r="602" spans="1:11" x14ac:dyDescent="0.2">
      <c r="A602" s="32" t="s">
        <v>164</v>
      </c>
      <c r="B602" s="6" t="s">
        <v>158</v>
      </c>
      <c r="C602" s="6">
        <v>3997.5</v>
      </c>
      <c r="D602" s="33">
        <v>120</v>
      </c>
      <c r="E602" s="2">
        <v>15</v>
      </c>
      <c r="F602" s="2">
        <v>59962.5</v>
      </c>
      <c r="G602" s="3" t="s">
        <v>1410</v>
      </c>
      <c r="H602" s="35">
        <v>52167.38</v>
      </c>
      <c r="I602" s="2">
        <v>39975</v>
      </c>
      <c r="J602" s="34">
        <v>41640</v>
      </c>
      <c r="K602">
        <f t="shared" si="9"/>
        <v>52167.38</v>
      </c>
    </row>
    <row r="603" spans="1:11" x14ac:dyDescent="0.2">
      <c r="A603" s="32" t="s">
        <v>77</v>
      </c>
      <c r="B603" s="6" t="s">
        <v>158</v>
      </c>
      <c r="C603" s="6">
        <v>2632</v>
      </c>
      <c r="D603" s="33">
        <v>120</v>
      </c>
      <c r="E603" s="2">
        <v>350</v>
      </c>
      <c r="F603" s="2" t="s">
        <v>1395</v>
      </c>
      <c r="G603" s="3" t="s">
        <v>1396</v>
      </c>
      <c r="H603" s="35" t="s">
        <v>1397</v>
      </c>
      <c r="I603" s="2" t="s">
        <v>1398</v>
      </c>
      <c r="J603" s="34">
        <v>41645</v>
      </c>
      <c r="K603">
        <f t="shared" si="9"/>
        <v>801444</v>
      </c>
    </row>
    <row r="604" spans="1:11" x14ac:dyDescent="0.2">
      <c r="A604" s="32" t="s">
        <v>58</v>
      </c>
      <c r="B604" s="6" t="s">
        <v>158</v>
      </c>
      <c r="C604" s="6">
        <v>1190</v>
      </c>
      <c r="D604" s="33">
        <v>120</v>
      </c>
      <c r="E604" s="2">
        <v>7</v>
      </c>
      <c r="F604" s="2">
        <v>8330</v>
      </c>
      <c r="G604" s="3" t="s">
        <v>1411</v>
      </c>
      <c r="H604" s="35">
        <v>7247.1</v>
      </c>
      <c r="I604" s="2">
        <v>5950</v>
      </c>
      <c r="J604" s="34">
        <v>41645</v>
      </c>
      <c r="K604">
        <f t="shared" si="9"/>
        <v>7247.1</v>
      </c>
    </row>
    <row r="605" spans="1:11" x14ac:dyDescent="0.2">
      <c r="A605" s="32" t="s">
        <v>102</v>
      </c>
      <c r="B605" s="6" t="s">
        <v>158</v>
      </c>
      <c r="C605" s="6">
        <v>604</v>
      </c>
      <c r="D605" s="33">
        <v>120</v>
      </c>
      <c r="E605" s="2">
        <v>12</v>
      </c>
      <c r="F605" s="2">
        <v>7248</v>
      </c>
      <c r="G605" s="3" t="s">
        <v>1385</v>
      </c>
      <c r="H605" s="35">
        <v>6305.76</v>
      </c>
      <c r="I605" s="2">
        <v>1812</v>
      </c>
      <c r="J605" s="34">
        <v>41645</v>
      </c>
      <c r="K605">
        <f t="shared" si="9"/>
        <v>6305.76</v>
      </c>
    </row>
    <row r="606" spans="1:11" x14ac:dyDescent="0.2">
      <c r="A606" s="32" t="s">
        <v>136</v>
      </c>
      <c r="B606" s="6" t="s">
        <v>158</v>
      </c>
      <c r="C606" s="6">
        <v>660</v>
      </c>
      <c r="D606" s="33">
        <v>120</v>
      </c>
      <c r="E606" s="2">
        <v>15</v>
      </c>
      <c r="F606" s="2">
        <v>9900</v>
      </c>
      <c r="G606" s="3" t="s">
        <v>1412</v>
      </c>
      <c r="H606" s="35">
        <v>8613</v>
      </c>
      <c r="I606" s="2">
        <v>6600</v>
      </c>
      <c r="J606" s="34">
        <v>41283</v>
      </c>
      <c r="K606">
        <f t="shared" si="9"/>
        <v>8613</v>
      </c>
    </row>
    <row r="607" spans="1:11" x14ac:dyDescent="0.2">
      <c r="A607" s="32" t="s">
        <v>102</v>
      </c>
      <c r="B607" s="6" t="s">
        <v>158</v>
      </c>
      <c r="C607" s="6">
        <v>410</v>
      </c>
      <c r="D607" s="33">
        <v>120</v>
      </c>
      <c r="E607" s="2">
        <v>12</v>
      </c>
      <c r="F607" s="2">
        <v>4920</v>
      </c>
      <c r="G607" s="3" t="s">
        <v>1413</v>
      </c>
      <c r="H607" s="35">
        <v>4280.3999999999996</v>
      </c>
      <c r="I607" s="2">
        <v>1230</v>
      </c>
      <c r="J607" s="34">
        <v>41649</v>
      </c>
      <c r="K607">
        <f t="shared" si="9"/>
        <v>4280.3999999999996</v>
      </c>
    </row>
    <row r="608" spans="1:11" x14ac:dyDescent="0.2">
      <c r="A608" s="32" t="s">
        <v>151</v>
      </c>
      <c r="B608" s="6" t="s">
        <v>158</v>
      </c>
      <c r="C608" s="6">
        <v>2605</v>
      </c>
      <c r="D608" s="33">
        <v>120</v>
      </c>
      <c r="E608" s="2">
        <v>300</v>
      </c>
      <c r="F608" s="2" t="s">
        <v>1414</v>
      </c>
      <c r="G608" s="3" t="s">
        <v>1415</v>
      </c>
      <c r="H608" s="35" t="s">
        <v>1416</v>
      </c>
      <c r="I608" s="2" t="s">
        <v>1417</v>
      </c>
      <c r="J608" s="34">
        <v>41285</v>
      </c>
      <c r="K608">
        <f t="shared" si="9"/>
        <v>679905</v>
      </c>
    </row>
    <row r="609" spans="1:11" x14ac:dyDescent="0.2">
      <c r="A609" s="32" t="s">
        <v>39</v>
      </c>
      <c r="B609" s="6" t="s">
        <v>158</v>
      </c>
      <c r="C609" s="6">
        <v>1013</v>
      </c>
      <c r="D609" s="33">
        <v>120</v>
      </c>
      <c r="E609" s="2">
        <v>12</v>
      </c>
      <c r="F609" s="2">
        <v>12156</v>
      </c>
      <c r="G609" s="3" t="s">
        <v>1409</v>
      </c>
      <c r="H609" s="35">
        <v>10575.72</v>
      </c>
      <c r="I609" s="2">
        <v>3039</v>
      </c>
      <c r="J609" s="34">
        <v>41651</v>
      </c>
      <c r="K609">
        <f t="shared" si="9"/>
        <v>10575.72</v>
      </c>
    </row>
    <row r="610" spans="1:11" x14ac:dyDescent="0.2">
      <c r="A610" s="32" t="s">
        <v>104</v>
      </c>
      <c r="B610" s="6" t="s">
        <v>158</v>
      </c>
      <c r="C610" s="6">
        <v>1583</v>
      </c>
      <c r="D610" s="33">
        <v>250</v>
      </c>
      <c r="E610" s="2">
        <v>125</v>
      </c>
      <c r="F610" s="2" t="s">
        <v>1399</v>
      </c>
      <c r="G610" s="3" t="s">
        <v>1400</v>
      </c>
      <c r="H610" s="35" t="s">
        <v>1401</v>
      </c>
      <c r="I610" s="2" t="s">
        <v>1402</v>
      </c>
      <c r="J610" s="34">
        <v>41645</v>
      </c>
      <c r="K610">
        <f t="shared" si="9"/>
        <v>172151.25</v>
      </c>
    </row>
    <row r="611" spans="1:11" x14ac:dyDescent="0.2">
      <c r="A611" s="32" t="s">
        <v>138</v>
      </c>
      <c r="B611" s="6" t="s">
        <v>158</v>
      </c>
      <c r="C611" s="6">
        <v>1565</v>
      </c>
      <c r="D611" s="33">
        <v>250</v>
      </c>
      <c r="E611" s="2">
        <v>15</v>
      </c>
      <c r="F611" s="2">
        <v>23475</v>
      </c>
      <c r="G611" s="3" t="s">
        <v>1405</v>
      </c>
      <c r="H611" s="35">
        <v>20423.25</v>
      </c>
      <c r="I611" s="2">
        <v>15650</v>
      </c>
      <c r="J611" s="34">
        <v>41649</v>
      </c>
      <c r="K611">
        <f t="shared" si="9"/>
        <v>20423.25</v>
      </c>
    </row>
    <row r="612" spans="1:11" x14ac:dyDescent="0.2">
      <c r="A612" s="32" t="s">
        <v>146</v>
      </c>
      <c r="B612" s="6" t="s">
        <v>158</v>
      </c>
      <c r="C612" s="6">
        <v>1659</v>
      </c>
      <c r="D612" s="33">
        <v>260</v>
      </c>
      <c r="E612" s="2">
        <v>125</v>
      </c>
      <c r="F612" s="2" t="s">
        <v>1418</v>
      </c>
      <c r="G612" s="3" t="s">
        <v>1419</v>
      </c>
      <c r="H612" s="35" t="s">
        <v>1420</v>
      </c>
      <c r="I612" s="2" t="s">
        <v>1421</v>
      </c>
      <c r="J612" s="34">
        <v>41640</v>
      </c>
      <c r="K612">
        <f t="shared" si="9"/>
        <v>180416.25</v>
      </c>
    </row>
    <row r="613" spans="1:11" x14ac:dyDescent="0.2">
      <c r="A613" s="32" t="s">
        <v>50</v>
      </c>
      <c r="B613" s="6" t="s">
        <v>158</v>
      </c>
      <c r="C613" s="6">
        <v>1190</v>
      </c>
      <c r="D613" s="33">
        <v>260</v>
      </c>
      <c r="E613" s="2">
        <v>7</v>
      </c>
      <c r="F613" s="2">
        <v>8330</v>
      </c>
      <c r="G613" s="3" t="s">
        <v>1411</v>
      </c>
      <c r="H613" s="35">
        <v>7247.1</v>
      </c>
      <c r="I613" s="2">
        <v>5950</v>
      </c>
      <c r="J613" s="34">
        <v>41645</v>
      </c>
      <c r="K613">
        <f t="shared" si="9"/>
        <v>7247.1</v>
      </c>
    </row>
    <row r="614" spans="1:11" x14ac:dyDescent="0.2">
      <c r="A614" s="32" t="s">
        <v>126</v>
      </c>
      <c r="B614" s="6" t="s">
        <v>158</v>
      </c>
      <c r="C614" s="6">
        <v>410</v>
      </c>
      <c r="D614" s="33">
        <v>260</v>
      </c>
      <c r="E614" s="2">
        <v>12</v>
      </c>
      <c r="F614" s="2">
        <v>4920</v>
      </c>
      <c r="G614" s="3" t="s">
        <v>1413</v>
      </c>
      <c r="H614" s="35">
        <v>4280.3999999999996</v>
      </c>
      <c r="I614" s="2">
        <v>1230</v>
      </c>
      <c r="J614" s="34">
        <v>41649</v>
      </c>
      <c r="K614">
        <f t="shared" si="9"/>
        <v>4280.3999999999996</v>
      </c>
    </row>
    <row r="615" spans="1:11" x14ac:dyDescent="0.2">
      <c r="A615" s="32" t="s">
        <v>161</v>
      </c>
      <c r="B615" s="6" t="s">
        <v>158</v>
      </c>
      <c r="C615" s="6">
        <v>1770</v>
      </c>
      <c r="D615" s="33">
        <v>260</v>
      </c>
      <c r="E615" s="2">
        <v>12</v>
      </c>
      <c r="F615" s="2">
        <v>21240</v>
      </c>
      <c r="G615" s="3" t="s">
        <v>1422</v>
      </c>
      <c r="H615" s="35">
        <v>18478.8</v>
      </c>
      <c r="I615" s="2">
        <v>5310</v>
      </c>
      <c r="J615" s="34">
        <v>41286</v>
      </c>
      <c r="K615">
        <f t="shared" si="9"/>
        <v>18478.8</v>
      </c>
    </row>
    <row r="616" spans="1:11" x14ac:dyDescent="0.2">
      <c r="A616" s="32" t="s">
        <v>60</v>
      </c>
      <c r="B616" s="6" t="s">
        <v>158</v>
      </c>
      <c r="C616" s="6">
        <v>2579</v>
      </c>
      <c r="D616" s="33">
        <v>3</v>
      </c>
      <c r="E616" s="2">
        <v>20</v>
      </c>
      <c r="F616" s="2">
        <v>51580</v>
      </c>
      <c r="G616" s="3" t="s">
        <v>1423</v>
      </c>
      <c r="H616" s="35">
        <v>44358.8</v>
      </c>
      <c r="I616" s="2">
        <v>25790</v>
      </c>
      <c r="J616" s="34">
        <v>41643</v>
      </c>
      <c r="K616">
        <f t="shared" si="9"/>
        <v>44358.8</v>
      </c>
    </row>
    <row r="617" spans="1:11" x14ac:dyDescent="0.2">
      <c r="A617" s="32" t="s">
        <v>61</v>
      </c>
      <c r="B617" s="6" t="s">
        <v>158</v>
      </c>
      <c r="C617" s="6">
        <v>1743</v>
      </c>
      <c r="D617" s="33">
        <v>3</v>
      </c>
      <c r="E617" s="2">
        <v>20</v>
      </c>
      <c r="F617" s="2">
        <v>34860</v>
      </c>
      <c r="G617" s="3" t="s">
        <v>1424</v>
      </c>
      <c r="H617" s="35">
        <v>29979.599999999999</v>
      </c>
      <c r="I617" s="2">
        <v>17430</v>
      </c>
      <c r="J617" s="34">
        <v>41644</v>
      </c>
      <c r="K617">
        <f t="shared" si="9"/>
        <v>29979.599999999999</v>
      </c>
    </row>
    <row r="618" spans="1:11" x14ac:dyDescent="0.2">
      <c r="A618" s="32" t="s">
        <v>61</v>
      </c>
      <c r="B618" s="6" t="s">
        <v>158</v>
      </c>
      <c r="C618" s="6">
        <v>2996</v>
      </c>
      <c r="D618" s="33">
        <v>3</v>
      </c>
      <c r="E618" s="2">
        <v>7</v>
      </c>
      <c r="F618" s="2">
        <v>20972</v>
      </c>
      <c r="G618" s="3" t="s">
        <v>1425</v>
      </c>
      <c r="H618" s="35">
        <v>18035.919999999998</v>
      </c>
      <c r="I618" s="2">
        <v>14980</v>
      </c>
      <c r="J618" s="34">
        <v>41284</v>
      </c>
      <c r="K618">
        <f t="shared" si="9"/>
        <v>18035.919999999998</v>
      </c>
    </row>
    <row r="619" spans="1:11" x14ac:dyDescent="0.2">
      <c r="A619" s="32" t="s">
        <v>13</v>
      </c>
      <c r="B619" s="6" t="s">
        <v>158</v>
      </c>
      <c r="C619" s="6">
        <v>280</v>
      </c>
      <c r="D619" s="33">
        <v>3</v>
      </c>
      <c r="E619" s="2">
        <v>7</v>
      </c>
      <c r="F619" s="2">
        <v>1960</v>
      </c>
      <c r="G619" s="3" t="s">
        <v>1426</v>
      </c>
      <c r="H619" s="35">
        <v>1685.6</v>
      </c>
      <c r="I619" s="2">
        <v>1400</v>
      </c>
      <c r="J619" s="34">
        <v>41651</v>
      </c>
      <c r="K619">
        <f t="shared" si="9"/>
        <v>1685.6</v>
      </c>
    </row>
    <row r="620" spans="1:11" x14ac:dyDescent="0.2">
      <c r="A620" s="32" t="s">
        <v>19</v>
      </c>
      <c r="B620" s="6" t="s">
        <v>158</v>
      </c>
      <c r="C620" s="6">
        <v>293</v>
      </c>
      <c r="D620" s="33">
        <v>5</v>
      </c>
      <c r="E620" s="2">
        <v>7</v>
      </c>
      <c r="F620" s="2">
        <v>2051</v>
      </c>
      <c r="G620" s="3" t="s">
        <v>1427</v>
      </c>
      <c r="H620" s="35">
        <v>1763.86</v>
      </c>
      <c r="I620" s="2">
        <v>1465</v>
      </c>
      <c r="J620" s="34">
        <v>41641</v>
      </c>
      <c r="K620">
        <f t="shared" si="9"/>
        <v>1763.86</v>
      </c>
    </row>
    <row r="621" spans="1:11" x14ac:dyDescent="0.2">
      <c r="A621" s="32" t="s">
        <v>88</v>
      </c>
      <c r="B621" s="6" t="s">
        <v>158</v>
      </c>
      <c r="C621" s="6">
        <v>2996</v>
      </c>
      <c r="D621" s="33">
        <v>5</v>
      </c>
      <c r="E621" s="2">
        <v>7</v>
      </c>
      <c r="F621" s="2">
        <v>20972</v>
      </c>
      <c r="G621" s="3" t="s">
        <v>1425</v>
      </c>
      <c r="H621" s="35">
        <v>18035.919999999998</v>
      </c>
      <c r="I621" s="2">
        <v>14980</v>
      </c>
      <c r="J621" s="34">
        <v>41284</v>
      </c>
      <c r="K621">
        <f t="shared" si="9"/>
        <v>18035.919999999998</v>
      </c>
    </row>
    <row r="622" spans="1:11" x14ac:dyDescent="0.2">
      <c r="A622" s="32" t="s">
        <v>75</v>
      </c>
      <c r="B622" s="6" t="s">
        <v>158</v>
      </c>
      <c r="C622" s="6">
        <v>278</v>
      </c>
      <c r="D622" s="33">
        <v>10</v>
      </c>
      <c r="E622" s="2">
        <v>15</v>
      </c>
      <c r="F622" s="2">
        <v>4170</v>
      </c>
      <c r="G622" s="3" t="s">
        <v>1428</v>
      </c>
      <c r="H622" s="35">
        <v>3586.2</v>
      </c>
      <c r="I622" s="2">
        <v>2780</v>
      </c>
      <c r="J622" s="34">
        <v>41641</v>
      </c>
      <c r="K622">
        <f t="shared" si="9"/>
        <v>3586.2</v>
      </c>
    </row>
    <row r="623" spans="1:11" x14ac:dyDescent="0.2">
      <c r="A623" s="32" t="s">
        <v>26</v>
      </c>
      <c r="B623" s="6" t="s">
        <v>158</v>
      </c>
      <c r="C623" s="6">
        <v>2428</v>
      </c>
      <c r="D623" s="33">
        <v>10</v>
      </c>
      <c r="E623" s="2">
        <v>20</v>
      </c>
      <c r="F623" s="2">
        <v>48560</v>
      </c>
      <c r="G623" s="3" t="s">
        <v>1429</v>
      </c>
      <c r="H623" s="35">
        <v>41761.599999999999</v>
      </c>
      <c r="I623" s="2">
        <v>24280</v>
      </c>
      <c r="J623" s="34">
        <v>41642</v>
      </c>
      <c r="K623">
        <f t="shared" si="9"/>
        <v>41761.599999999999</v>
      </c>
    </row>
    <row r="624" spans="1:11" x14ac:dyDescent="0.2">
      <c r="A624" s="32" t="s">
        <v>71</v>
      </c>
      <c r="B624" s="6" t="s">
        <v>158</v>
      </c>
      <c r="C624" s="6">
        <v>1767</v>
      </c>
      <c r="D624" s="33">
        <v>10</v>
      </c>
      <c r="E624" s="2">
        <v>15</v>
      </c>
      <c r="F624" s="2">
        <v>26505</v>
      </c>
      <c r="G624" s="3" t="s">
        <v>1430</v>
      </c>
      <c r="H624" s="35">
        <v>22794.3</v>
      </c>
      <c r="I624" s="2">
        <v>17670</v>
      </c>
      <c r="J624" s="34">
        <v>41648</v>
      </c>
      <c r="K624">
        <f t="shared" si="9"/>
        <v>22794.3</v>
      </c>
    </row>
    <row r="625" spans="1:11" x14ac:dyDescent="0.2">
      <c r="A625" s="32" t="s">
        <v>94</v>
      </c>
      <c r="B625" s="6" t="s">
        <v>158</v>
      </c>
      <c r="C625" s="6">
        <v>1393</v>
      </c>
      <c r="D625" s="33">
        <v>10</v>
      </c>
      <c r="E625" s="2">
        <v>12</v>
      </c>
      <c r="F625" s="2">
        <v>16716</v>
      </c>
      <c r="G625" s="3" t="s">
        <v>1431</v>
      </c>
      <c r="H625" s="35">
        <v>14375.76</v>
      </c>
      <c r="I625" s="2">
        <v>4179</v>
      </c>
      <c r="J625" s="34">
        <v>41649</v>
      </c>
      <c r="K625">
        <f t="shared" si="9"/>
        <v>14375.76</v>
      </c>
    </row>
    <row r="626" spans="1:11" x14ac:dyDescent="0.2">
      <c r="A626" s="32" t="s">
        <v>78</v>
      </c>
      <c r="B626" s="6" t="s">
        <v>158</v>
      </c>
      <c r="C626" s="6">
        <v>280</v>
      </c>
      <c r="D626" s="33">
        <v>250</v>
      </c>
      <c r="E626" s="2">
        <v>7</v>
      </c>
      <c r="F626" s="2">
        <v>1960</v>
      </c>
      <c r="G626" s="3" t="s">
        <v>1426</v>
      </c>
      <c r="H626" s="35">
        <v>1685.6</v>
      </c>
      <c r="I626" s="2">
        <v>1400</v>
      </c>
      <c r="J626" s="34">
        <v>41651</v>
      </c>
      <c r="K626">
        <f t="shared" si="9"/>
        <v>1685.6</v>
      </c>
    </row>
    <row r="627" spans="1:11" x14ac:dyDescent="0.2">
      <c r="A627" s="32" t="s">
        <v>157</v>
      </c>
      <c r="B627" s="6" t="s">
        <v>158</v>
      </c>
      <c r="C627" s="6">
        <v>1393</v>
      </c>
      <c r="D627" s="33">
        <v>260</v>
      </c>
      <c r="E627" s="2">
        <v>12</v>
      </c>
      <c r="F627" s="2">
        <v>16716</v>
      </c>
      <c r="G627" s="3" t="s">
        <v>1431</v>
      </c>
      <c r="H627" s="35">
        <v>14375.76</v>
      </c>
      <c r="I627" s="2">
        <v>4179</v>
      </c>
      <c r="J627" s="34">
        <v>41649</v>
      </c>
      <c r="K627">
        <f t="shared" si="9"/>
        <v>14375.76</v>
      </c>
    </row>
    <row r="628" spans="1:11" x14ac:dyDescent="0.2">
      <c r="A628" s="32" t="s">
        <v>51</v>
      </c>
      <c r="B628" s="6" t="s">
        <v>158</v>
      </c>
      <c r="C628" s="6">
        <v>2015</v>
      </c>
      <c r="D628" s="33">
        <v>260</v>
      </c>
      <c r="E628" s="2">
        <v>12</v>
      </c>
      <c r="F628" s="2">
        <v>24180</v>
      </c>
      <c r="G628" s="3" t="s">
        <v>1432</v>
      </c>
      <c r="H628" s="35">
        <v>20794.8</v>
      </c>
      <c r="I628" s="2">
        <v>6045</v>
      </c>
      <c r="J628" s="34">
        <v>41286</v>
      </c>
      <c r="K628">
        <f t="shared" si="9"/>
        <v>20794.8</v>
      </c>
    </row>
    <row r="629" spans="1:11" x14ac:dyDescent="0.2">
      <c r="A629" s="32" t="s">
        <v>66</v>
      </c>
      <c r="B629" s="6" t="s">
        <v>158</v>
      </c>
      <c r="C629" s="6">
        <v>801</v>
      </c>
      <c r="D629" s="33">
        <v>3</v>
      </c>
      <c r="E629" s="2">
        <v>300</v>
      </c>
      <c r="F629" s="2" t="s">
        <v>1433</v>
      </c>
      <c r="G629" s="3" t="s">
        <v>1434</v>
      </c>
      <c r="H629" s="35" t="s">
        <v>1435</v>
      </c>
      <c r="I629" s="2" t="s">
        <v>1436</v>
      </c>
      <c r="J629" s="34">
        <v>41646</v>
      </c>
      <c r="K629">
        <f t="shared" si="9"/>
        <v>206658</v>
      </c>
    </row>
    <row r="630" spans="1:11" x14ac:dyDescent="0.2">
      <c r="A630" s="32" t="s">
        <v>109</v>
      </c>
      <c r="B630" s="6" t="s">
        <v>158</v>
      </c>
      <c r="C630" s="6">
        <v>1023</v>
      </c>
      <c r="D630" s="33">
        <v>3</v>
      </c>
      <c r="E630" s="2">
        <v>125</v>
      </c>
      <c r="F630" s="2" t="s">
        <v>1437</v>
      </c>
      <c r="G630" s="3" t="s">
        <v>1438</v>
      </c>
      <c r="H630" s="35" t="s">
        <v>1439</v>
      </c>
      <c r="I630" s="2" t="s">
        <v>1440</v>
      </c>
      <c r="J630" s="34">
        <v>41283</v>
      </c>
      <c r="K630">
        <f t="shared" si="9"/>
        <v>109972.5</v>
      </c>
    </row>
    <row r="631" spans="1:11" x14ac:dyDescent="0.2">
      <c r="A631" s="32" t="s">
        <v>153</v>
      </c>
      <c r="B631" s="6" t="s">
        <v>158</v>
      </c>
      <c r="C631" s="6">
        <v>1496</v>
      </c>
      <c r="D631" s="33">
        <v>3</v>
      </c>
      <c r="E631" s="2">
        <v>300</v>
      </c>
      <c r="F631" s="2" t="s">
        <v>1441</v>
      </c>
      <c r="G631" s="3" t="s">
        <v>1442</v>
      </c>
      <c r="H631" s="35" t="s">
        <v>1443</v>
      </c>
      <c r="I631" s="2" t="s">
        <v>777</v>
      </c>
      <c r="J631" s="34">
        <v>41649</v>
      </c>
      <c r="K631">
        <f t="shared" si="9"/>
        <v>385968</v>
      </c>
    </row>
    <row r="632" spans="1:11" x14ac:dyDescent="0.2">
      <c r="A632" s="32" t="s">
        <v>127</v>
      </c>
      <c r="B632" s="6" t="s">
        <v>158</v>
      </c>
      <c r="C632" s="6">
        <v>1010</v>
      </c>
      <c r="D632" s="33">
        <v>3</v>
      </c>
      <c r="E632" s="2">
        <v>300</v>
      </c>
      <c r="F632" s="2" t="s">
        <v>1444</v>
      </c>
      <c r="G632" s="3" t="s">
        <v>1445</v>
      </c>
      <c r="H632" s="35" t="s">
        <v>1446</v>
      </c>
      <c r="I632" s="2" t="s">
        <v>1447</v>
      </c>
      <c r="J632" s="34">
        <v>41649</v>
      </c>
      <c r="K632">
        <f t="shared" si="9"/>
        <v>260580</v>
      </c>
    </row>
    <row r="633" spans="1:11" x14ac:dyDescent="0.2">
      <c r="A633" s="32" t="s">
        <v>15</v>
      </c>
      <c r="B633" s="6" t="s">
        <v>158</v>
      </c>
      <c r="C633" s="6">
        <v>1513</v>
      </c>
      <c r="D633" s="33">
        <v>3</v>
      </c>
      <c r="E633" s="2">
        <v>15</v>
      </c>
      <c r="F633" s="2">
        <v>22695</v>
      </c>
      <c r="G633" s="3" t="s">
        <v>1448</v>
      </c>
      <c r="H633" s="35">
        <v>19517.7</v>
      </c>
      <c r="I633" s="2">
        <v>15130</v>
      </c>
      <c r="J633" s="34">
        <v>41650</v>
      </c>
      <c r="K633">
        <f t="shared" si="9"/>
        <v>19517.7</v>
      </c>
    </row>
    <row r="634" spans="1:11" x14ac:dyDescent="0.2">
      <c r="A634" s="32" t="s">
        <v>132</v>
      </c>
      <c r="B634" s="6" t="s">
        <v>158</v>
      </c>
      <c r="C634" s="6">
        <v>2300</v>
      </c>
      <c r="D634" s="33">
        <v>3</v>
      </c>
      <c r="E634" s="2">
        <v>15</v>
      </c>
      <c r="F634" s="2">
        <v>34500</v>
      </c>
      <c r="G634" s="3" t="s">
        <v>1449</v>
      </c>
      <c r="H634" s="35">
        <v>29670</v>
      </c>
      <c r="I634" s="2">
        <v>23000</v>
      </c>
      <c r="J634" s="34">
        <v>41651</v>
      </c>
      <c r="K634">
        <f t="shared" si="9"/>
        <v>29670</v>
      </c>
    </row>
    <row r="635" spans="1:11" x14ac:dyDescent="0.2">
      <c r="A635" s="32" t="s">
        <v>148</v>
      </c>
      <c r="B635" s="6" t="s">
        <v>158</v>
      </c>
      <c r="C635" s="6">
        <v>2821</v>
      </c>
      <c r="D635" s="33">
        <v>3</v>
      </c>
      <c r="E635" s="2">
        <v>125</v>
      </c>
      <c r="F635" s="2" t="s">
        <v>462</v>
      </c>
      <c r="G635" s="3" t="s">
        <v>1450</v>
      </c>
      <c r="H635" s="35" t="s">
        <v>1451</v>
      </c>
      <c r="I635" s="2" t="s">
        <v>463</v>
      </c>
      <c r="J635" s="34">
        <v>41286</v>
      </c>
      <c r="K635">
        <f t="shared" si="9"/>
        <v>303257.5</v>
      </c>
    </row>
    <row r="636" spans="1:11" x14ac:dyDescent="0.2">
      <c r="A636" s="32" t="s">
        <v>69</v>
      </c>
      <c r="B636" s="6" t="s">
        <v>158</v>
      </c>
      <c r="C636" s="6">
        <v>2227.5</v>
      </c>
      <c r="D636" s="33">
        <v>5</v>
      </c>
      <c r="E636" s="2">
        <v>350</v>
      </c>
      <c r="F636" s="2" t="s">
        <v>1452</v>
      </c>
      <c r="G636" s="3" t="s">
        <v>1453</v>
      </c>
      <c r="H636" s="35" t="s">
        <v>1454</v>
      </c>
      <c r="I636" s="2" t="s">
        <v>1455</v>
      </c>
      <c r="J636" s="34">
        <v>41640</v>
      </c>
      <c r="K636">
        <f t="shared" si="9"/>
        <v>670477.5</v>
      </c>
    </row>
    <row r="637" spans="1:11" x14ac:dyDescent="0.2">
      <c r="A637" s="32" t="s">
        <v>24</v>
      </c>
      <c r="B637" s="6" t="s">
        <v>158</v>
      </c>
      <c r="C637" s="6">
        <v>1199</v>
      </c>
      <c r="D637" s="33">
        <v>5</v>
      </c>
      <c r="E637" s="2">
        <v>350</v>
      </c>
      <c r="F637" s="2" t="s">
        <v>1456</v>
      </c>
      <c r="G637" s="3" t="s">
        <v>1457</v>
      </c>
      <c r="H637" s="35" t="s">
        <v>1458</v>
      </c>
      <c r="I637" s="2" t="s">
        <v>1459</v>
      </c>
      <c r="J637" s="34">
        <v>41643</v>
      </c>
      <c r="K637">
        <f t="shared" si="9"/>
        <v>360899</v>
      </c>
    </row>
    <row r="638" spans="1:11" x14ac:dyDescent="0.2">
      <c r="A638" s="32" t="s">
        <v>69</v>
      </c>
      <c r="B638" s="6" t="s">
        <v>158</v>
      </c>
      <c r="C638" s="6">
        <v>200</v>
      </c>
      <c r="D638" s="33">
        <v>5</v>
      </c>
      <c r="E638" s="2">
        <v>350</v>
      </c>
      <c r="F638" s="2">
        <v>70000</v>
      </c>
      <c r="G638" s="3" t="s">
        <v>1460</v>
      </c>
      <c r="H638" s="35">
        <v>60200</v>
      </c>
      <c r="I638" s="2">
        <v>52000</v>
      </c>
      <c r="J638" s="34">
        <v>41644</v>
      </c>
      <c r="K638">
        <f t="shared" si="9"/>
        <v>60200</v>
      </c>
    </row>
    <row r="639" spans="1:11" x14ac:dyDescent="0.2">
      <c r="A639" s="32" t="s">
        <v>69</v>
      </c>
      <c r="B639" s="6" t="s">
        <v>158</v>
      </c>
      <c r="C639" s="6">
        <v>388</v>
      </c>
      <c r="D639" s="33">
        <v>5</v>
      </c>
      <c r="E639" s="2">
        <v>7</v>
      </c>
      <c r="F639" s="2">
        <v>2716</v>
      </c>
      <c r="G639" s="3" t="s">
        <v>1461</v>
      </c>
      <c r="H639" s="35">
        <v>2335.7600000000002</v>
      </c>
      <c r="I639" s="2">
        <v>1940</v>
      </c>
      <c r="J639" s="34">
        <v>41648</v>
      </c>
      <c r="K639">
        <f t="shared" si="9"/>
        <v>2335.7600000000002</v>
      </c>
    </row>
    <row r="640" spans="1:11" x14ac:dyDescent="0.2">
      <c r="A640" s="32" t="s">
        <v>128</v>
      </c>
      <c r="B640" s="6" t="s">
        <v>158</v>
      </c>
      <c r="C640" s="6">
        <v>1727</v>
      </c>
      <c r="D640" s="33">
        <v>5</v>
      </c>
      <c r="E640" s="2">
        <v>7</v>
      </c>
      <c r="F640" s="2">
        <v>12089</v>
      </c>
      <c r="G640" s="3" t="s">
        <v>1462</v>
      </c>
      <c r="H640" s="35">
        <v>10396.540000000001</v>
      </c>
      <c r="I640" s="2">
        <v>8635</v>
      </c>
      <c r="J640" s="34">
        <v>41284</v>
      </c>
      <c r="K640">
        <f t="shared" si="9"/>
        <v>10396.540000000001</v>
      </c>
    </row>
    <row r="641" spans="1:11" x14ac:dyDescent="0.2">
      <c r="A641" s="32" t="s">
        <v>116</v>
      </c>
      <c r="B641" s="6" t="s">
        <v>158</v>
      </c>
      <c r="C641" s="6">
        <v>2300</v>
      </c>
      <c r="D641" s="33">
        <v>5</v>
      </c>
      <c r="E641" s="2">
        <v>15</v>
      </c>
      <c r="F641" s="2">
        <v>34500</v>
      </c>
      <c r="G641" s="3" t="s">
        <v>1449</v>
      </c>
      <c r="H641" s="35">
        <v>29670</v>
      </c>
      <c r="I641" s="2">
        <v>23000</v>
      </c>
      <c r="J641" s="34">
        <v>41651</v>
      </c>
      <c r="K641">
        <f t="shared" si="9"/>
        <v>29670</v>
      </c>
    </row>
    <row r="642" spans="1:11" x14ac:dyDescent="0.2">
      <c r="A642" s="32" t="s">
        <v>31</v>
      </c>
      <c r="B642" s="6" t="s">
        <v>158</v>
      </c>
      <c r="C642" s="6">
        <v>260</v>
      </c>
      <c r="D642" s="33">
        <v>10</v>
      </c>
      <c r="E642" s="2">
        <v>20</v>
      </c>
      <c r="F642" s="2">
        <v>5200</v>
      </c>
      <c r="G642" s="3" t="s">
        <v>1463</v>
      </c>
      <c r="H642" s="35">
        <v>4472</v>
      </c>
      <c r="I642" s="2">
        <v>2600</v>
      </c>
      <c r="J642" s="34">
        <v>41641</v>
      </c>
      <c r="K642">
        <f t="shared" si="9"/>
        <v>4472</v>
      </c>
    </row>
    <row r="643" spans="1:11" x14ac:dyDescent="0.2">
      <c r="A643" s="32" t="s">
        <v>36</v>
      </c>
      <c r="B643" s="6" t="s">
        <v>158</v>
      </c>
      <c r="C643" s="6">
        <v>2470</v>
      </c>
      <c r="D643" s="33">
        <v>10</v>
      </c>
      <c r="E643" s="2">
        <v>15</v>
      </c>
      <c r="F643" s="2">
        <v>37050</v>
      </c>
      <c r="G643" s="3" t="s">
        <v>1464</v>
      </c>
      <c r="H643" s="35">
        <v>31863</v>
      </c>
      <c r="I643" s="2">
        <v>24700</v>
      </c>
      <c r="J643" s="34">
        <v>41283</v>
      </c>
      <c r="K643">
        <f t="shared" si="9"/>
        <v>31863</v>
      </c>
    </row>
    <row r="644" spans="1:11" x14ac:dyDescent="0.2">
      <c r="A644" s="32" t="s">
        <v>36</v>
      </c>
      <c r="B644" s="6" t="s">
        <v>158</v>
      </c>
      <c r="C644" s="6">
        <v>1743</v>
      </c>
      <c r="D644" s="33">
        <v>10</v>
      </c>
      <c r="E644" s="2">
        <v>15</v>
      </c>
      <c r="F644" s="2">
        <v>26145</v>
      </c>
      <c r="G644" s="3" t="s">
        <v>1465</v>
      </c>
      <c r="H644" s="35">
        <v>22484.7</v>
      </c>
      <c r="I644" s="2">
        <v>17430</v>
      </c>
      <c r="J644" s="34">
        <v>41284</v>
      </c>
      <c r="K644">
        <f t="shared" si="9"/>
        <v>22484.7</v>
      </c>
    </row>
    <row r="645" spans="1:11" x14ac:dyDescent="0.2">
      <c r="A645" s="32" t="s">
        <v>35</v>
      </c>
      <c r="B645" s="6" t="s">
        <v>158</v>
      </c>
      <c r="C645" s="6">
        <v>2914</v>
      </c>
      <c r="D645" s="33">
        <v>10</v>
      </c>
      <c r="E645" s="2">
        <v>12</v>
      </c>
      <c r="F645" s="2">
        <v>34968</v>
      </c>
      <c r="G645" s="3" t="s">
        <v>1466</v>
      </c>
      <c r="H645" s="35">
        <v>30072.48</v>
      </c>
      <c r="I645" s="2">
        <v>8742</v>
      </c>
      <c r="J645" s="34">
        <v>41649</v>
      </c>
      <c r="K645">
        <f t="shared" ref="K645:K703" si="10">_xlfn.NUMBERVALUE(SUBSTITUTE(H645," $","",1))</f>
        <v>30072.48</v>
      </c>
    </row>
    <row r="646" spans="1:11" x14ac:dyDescent="0.2">
      <c r="A646" s="32" t="s">
        <v>56</v>
      </c>
      <c r="B646" s="6" t="s">
        <v>158</v>
      </c>
      <c r="C646" s="6">
        <v>1731</v>
      </c>
      <c r="D646" s="33">
        <v>10</v>
      </c>
      <c r="E646" s="2">
        <v>7</v>
      </c>
      <c r="F646" s="2">
        <v>12117</v>
      </c>
      <c r="G646" s="3" t="s">
        <v>1467</v>
      </c>
      <c r="H646" s="35">
        <v>10420.620000000001</v>
      </c>
      <c r="I646" s="2">
        <v>8655</v>
      </c>
      <c r="J646" s="34">
        <v>41649</v>
      </c>
      <c r="K646">
        <f t="shared" si="10"/>
        <v>10420.620000000001</v>
      </c>
    </row>
    <row r="647" spans="1:11" x14ac:dyDescent="0.2">
      <c r="A647" s="32" t="s">
        <v>26</v>
      </c>
      <c r="B647" s="6" t="s">
        <v>158</v>
      </c>
      <c r="C647" s="6">
        <v>700</v>
      </c>
      <c r="D647" s="33">
        <v>10</v>
      </c>
      <c r="E647" s="2">
        <v>350</v>
      </c>
      <c r="F647" s="2" t="s">
        <v>1468</v>
      </c>
      <c r="G647" s="3" t="s">
        <v>1469</v>
      </c>
      <c r="H647" s="35" t="s">
        <v>790</v>
      </c>
      <c r="I647" s="2" t="s">
        <v>1470</v>
      </c>
      <c r="J647" s="34">
        <v>41650</v>
      </c>
      <c r="K647">
        <f t="shared" si="10"/>
        <v>210700</v>
      </c>
    </row>
    <row r="648" spans="1:11" x14ac:dyDescent="0.2">
      <c r="A648" s="32" t="s">
        <v>28</v>
      </c>
      <c r="B648" s="6" t="s">
        <v>158</v>
      </c>
      <c r="C648" s="6">
        <v>2222</v>
      </c>
      <c r="D648" s="33">
        <v>10</v>
      </c>
      <c r="E648" s="2">
        <v>12</v>
      </c>
      <c r="F648" s="2">
        <v>26664</v>
      </c>
      <c r="G648" s="3" t="s">
        <v>1471</v>
      </c>
      <c r="H648" s="35">
        <v>22931.040000000001</v>
      </c>
      <c r="I648" s="2">
        <v>6666</v>
      </c>
      <c r="J648" s="34">
        <v>41285</v>
      </c>
      <c r="K648">
        <f t="shared" si="10"/>
        <v>22931.040000000001</v>
      </c>
    </row>
    <row r="649" spans="1:11" x14ac:dyDescent="0.2">
      <c r="A649" s="32" t="s">
        <v>34</v>
      </c>
      <c r="B649" s="6" t="s">
        <v>158</v>
      </c>
      <c r="C649" s="6">
        <v>1177</v>
      </c>
      <c r="D649" s="33">
        <v>10</v>
      </c>
      <c r="E649" s="2">
        <v>350</v>
      </c>
      <c r="F649" s="2" t="s">
        <v>1472</v>
      </c>
      <c r="G649" s="3" t="s">
        <v>1473</v>
      </c>
      <c r="H649" s="35" t="s">
        <v>1474</v>
      </c>
      <c r="I649" s="2" t="s">
        <v>1475</v>
      </c>
      <c r="J649" s="34">
        <v>41650</v>
      </c>
      <c r="K649">
        <f t="shared" si="10"/>
        <v>354277</v>
      </c>
    </row>
    <row r="650" spans="1:11" x14ac:dyDescent="0.2">
      <c r="A650" s="32" t="s">
        <v>56</v>
      </c>
      <c r="B650" s="6" t="s">
        <v>158</v>
      </c>
      <c r="C650" s="6">
        <v>1922</v>
      </c>
      <c r="D650" s="33">
        <v>10</v>
      </c>
      <c r="E650" s="2">
        <v>350</v>
      </c>
      <c r="F650" s="2" t="s">
        <v>1476</v>
      </c>
      <c r="G650" s="3" t="s">
        <v>1477</v>
      </c>
      <c r="H650" s="35" t="s">
        <v>1478</v>
      </c>
      <c r="I650" s="2" t="s">
        <v>1479</v>
      </c>
      <c r="J650" s="34">
        <v>41285</v>
      </c>
      <c r="K650">
        <f t="shared" si="10"/>
        <v>578522</v>
      </c>
    </row>
    <row r="651" spans="1:11" x14ac:dyDescent="0.2">
      <c r="A651" s="32" t="s">
        <v>100</v>
      </c>
      <c r="B651" s="6" t="s">
        <v>158</v>
      </c>
      <c r="C651" s="6">
        <v>1575</v>
      </c>
      <c r="D651" s="33">
        <v>120</v>
      </c>
      <c r="E651" s="2">
        <v>125</v>
      </c>
      <c r="F651" s="2" t="s">
        <v>1480</v>
      </c>
      <c r="G651" s="3" t="s">
        <v>1481</v>
      </c>
      <c r="H651" s="35" t="s">
        <v>1482</v>
      </c>
      <c r="I651" s="2" t="s">
        <v>1483</v>
      </c>
      <c r="J651" s="34">
        <v>41641</v>
      </c>
      <c r="K651">
        <f t="shared" si="10"/>
        <v>169312.5</v>
      </c>
    </row>
    <row r="652" spans="1:11" x14ac:dyDescent="0.2">
      <c r="A652" s="32" t="s">
        <v>98</v>
      </c>
      <c r="B652" s="6" t="s">
        <v>158</v>
      </c>
      <c r="C652" s="6">
        <v>606</v>
      </c>
      <c r="D652" s="33">
        <v>120</v>
      </c>
      <c r="E652" s="2">
        <v>20</v>
      </c>
      <c r="F652" s="2">
        <v>12120</v>
      </c>
      <c r="G652" s="3" t="s">
        <v>1484</v>
      </c>
      <c r="H652" s="35">
        <v>10423.200000000001</v>
      </c>
      <c r="I652" s="2">
        <v>6060</v>
      </c>
      <c r="J652" s="34">
        <v>41643</v>
      </c>
      <c r="K652">
        <f t="shared" si="10"/>
        <v>10423.200000000001</v>
      </c>
    </row>
    <row r="653" spans="1:11" x14ac:dyDescent="0.2">
      <c r="A653" s="32" t="s">
        <v>144</v>
      </c>
      <c r="B653" s="6" t="s">
        <v>158</v>
      </c>
      <c r="C653" s="6">
        <v>2460</v>
      </c>
      <c r="D653" s="33">
        <v>120</v>
      </c>
      <c r="E653" s="2">
        <v>300</v>
      </c>
      <c r="F653" s="2" t="s">
        <v>1008</v>
      </c>
      <c r="G653" s="3" t="s">
        <v>803</v>
      </c>
      <c r="H653" s="35" t="s">
        <v>1485</v>
      </c>
      <c r="I653" s="2" t="s">
        <v>1011</v>
      </c>
      <c r="J653" s="34">
        <v>41646</v>
      </c>
      <c r="K653">
        <f t="shared" si="10"/>
        <v>634680</v>
      </c>
    </row>
    <row r="654" spans="1:11" x14ac:dyDescent="0.2">
      <c r="A654" s="32" t="s">
        <v>154</v>
      </c>
      <c r="B654" s="6" t="s">
        <v>158</v>
      </c>
      <c r="C654" s="6">
        <v>269</v>
      </c>
      <c r="D654" s="33">
        <v>120</v>
      </c>
      <c r="E654" s="2">
        <v>300</v>
      </c>
      <c r="F654" s="2">
        <v>80700</v>
      </c>
      <c r="G654" s="3" t="s">
        <v>1486</v>
      </c>
      <c r="H654" s="35">
        <v>69402</v>
      </c>
      <c r="I654" s="2">
        <v>67250</v>
      </c>
      <c r="J654" s="34">
        <v>41284</v>
      </c>
      <c r="K654">
        <f t="shared" si="10"/>
        <v>69402</v>
      </c>
    </row>
    <row r="655" spans="1:11" x14ac:dyDescent="0.2">
      <c r="A655" s="32" t="s">
        <v>131</v>
      </c>
      <c r="B655" s="6" t="s">
        <v>158</v>
      </c>
      <c r="C655" s="6">
        <v>2536</v>
      </c>
      <c r="D655" s="33">
        <v>120</v>
      </c>
      <c r="E655" s="2">
        <v>300</v>
      </c>
      <c r="F655" s="2" t="s">
        <v>1487</v>
      </c>
      <c r="G655" s="3" t="s">
        <v>1488</v>
      </c>
      <c r="H655" s="35" t="s">
        <v>1489</v>
      </c>
      <c r="I655" s="2" t="s">
        <v>1490</v>
      </c>
      <c r="J655" s="34">
        <v>41285</v>
      </c>
      <c r="K655">
        <f t="shared" si="10"/>
        <v>654288</v>
      </c>
    </row>
    <row r="656" spans="1:11" x14ac:dyDescent="0.2">
      <c r="A656" s="32" t="s">
        <v>83</v>
      </c>
      <c r="B656" s="6" t="s">
        <v>158</v>
      </c>
      <c r="C656" s="6">
        <v>2903</v>
      </c>
      <c r="D656" s="33">
        <v>250</v>
      </c>
      <c r="E656" s="2">
        <v>7</v>
      </c>
      <c r="F656" s="2">
        <v>20321</v>
      </c>
      <c r="G656" s="3" t="s">
        <v>1491</v>
      </c>
      <c r="H656" s="35">
        <v>17476.060000000001</v>
      </c>
      <c r="I656" s="2">
        <v>14515</v>
      </c>
      <c r="J656" s="34">
        <v>41642</v>
      </c>
      <c r="K656">
        <f t="shared" si="10"/>
        <v>17476.060000000001</v>
      </c>
    </row>
    <row r="657" spans="1:11" x14ac:dyDescent="0.2">
      <c r="A657" s="32" t="s">
        <v>113</v>
      </c>
      <c r="B657" s="6" t="s">
        <v>158</v>
      </c>
      <c r="C657" s="6">
        <v>2541</v>
      </c>
      <c r="D657" s="33">
        <v>250</v>
      </c>
      <c r="E657" s="2">
        <v>300</v>
      </c>
      <c r="F657" s="2" t="s">
        <v>1492</v>
      </c>
      <c r="G657" s="3" t="s">
        <v>1493</v>
      </c>
      <c r="H657" s="35" t="s">
        <v>1494</v>
      </c>
      <c r="I657" s="2" t="s">
        <v>1495</v>
      </c>
      <c r="J657" s="34">
        <v>41647</v>
      </c>
      <c r="K657">
        <f t="shared" si="10"/>
        <v>655578</v>
      </c>
    </row>
    <row r="658" spans="1:11" x14ac:dyDescent="0.2">
      <c r="A658" s="32" t="s">
        <v>43</v>
      </c>
      <c r="B658" s="6" t="s">
        <v>158</v>
      </c>
      <c r="C658" s="6">
        <v>269</v>
      </c>
      <c r="D658" s="33">
        <v>250</v>
      </c>
      <c r="E658" s="2">
        <v>300</v>
      </c>
      <c r="F658" s="2">
        <v>80700</v>
      </c>
      <c r="G658" s="3" t="s">
        <v>1486</v>
      </c>
      <c r="H658" s="35">
        <v>69402</v>
      </c>
      <c r="I658" s="2">
        <v>67250</v>
      </c>
      <c r="J658" s="34">
        <v>41284</v>
      </c>
      <c r="K658">
        <f t="shared" si="10"/>
        <v>69402</v>
      </c>
    </row>
    <row r="659" spans="1:11" x14ac:dyDescent="0.2">
      <c r="A659" s="32" t="s">
        <v>43</v>
      </c>
      <c r="B659" s="6" t="s">
        <v>158</v>
      </c>
      <c r="C659" s="6">
        <v>1496</v>
      </c>
      <c r="D659" s="33">
        <v>250</v>
      </c>
      <c r="E659" s="2">
        <v>300</v>
      </c>
      <c r="F659" s="2" t="s">
        <v>1441</v>
      </c>
      <c r="G659" s="3" t="s">
        <v>1442</v>
      </c>
      <c r="H659" s="35" t="s">
        <v>1443</v>
      </c>
      <c r="I659" s="2" t="s">
        <v>777</v>
      </c>
      <c r="J659" s="34">
        <v>41649</v>
      </c>
      <c r="K659">
        <f t="shared" si="10"/>
        <v>385968</v>
      </c>
    </row>
    <row r="660" spans="1:11" x14ac:dyDescent="0.2">
      <c r="A660" s="32" t="s">
        <v>113</v>
      </c>
      <c r="B660" s="6" t="s">
        <v>158</v>
      </c>
      <c r="C660" s="6">
        <v>1010</v>
      </c>
      <c r="D660" s="33">
        <v>250</v>
      </c>
      <c r="E660" s="2">
        <v>300</v>
      </c>
      <c r="F660" s="2" t="s">
        <v>1444</v>
      </c>
      <c r="G660" s="3" t="s">
        <v>1445</v>
      </c>
      <c r="H660" s="35" t="s">
        <v>1446</v>
      </c>
      <c r="I660" s="2" t="s">
        <v>1447</v>
      </c>
      <c r="J660" s="34">
        <v>41649</v>
      </c>
      <c r="K660">
        <f t="shared" si="10"/>
        <v>260580</v>
      </c>
    </row>
    <row r="661" spans="1:11" x14ac:dyDescent="0.2">
      <c r="A661" s="32" t="s">
        <v>47</v>
      </c>
      <c r="B661" s="6" t="s">
        <v>158</v>
      </c>
      <c r="C661" s="6">
        <v>1281</v>
      </c>
      <c r="D661" s="33">
        <v>250</v>
      </c>
      <c r="E661" s="2">
        <v>350</v>
      </c>
      <c r="F661" s="2" t="s">
        <v>1496</v>
      </c>
      <c r="G661" s="3" t="s">
        <v>1497</v>
      </c>
      <c r="H661" s="35" t="s">
        <v>1498</v>
      </c>
      <c r="I661" s="2" t="s">
        <v>1499</v>
      </c>
      <c r="J661" s="34">
        <v>41286</v>
      </c>
      <c r="K661">
        <f t="shared" si="10"/>
        <v>385581</v>
      </c>
    </row>
    <row r="662" spans="1:11" x14ac:dyDescent="0.2">
      <c r="A662" s="32" t="s">
        <v>108</v>
      </c>
      <c r="B662" s="6" t="s">
        <v>158</v>
      </c>
      <c r="C662" s="6">
        <v>888</v>
      </c>
      <c r="D662" s="33">
        <v>260</v>
      </c>
      <c r="E662" s="2">
        <v>300</v>
      </c>
      <c r="F662" s="2" t="s">
        <v>1500</v>
      </c>
      <c r="G662" s="3" t="s">
        <v>1501</v>
      </c>
      <c r="H662" s="35" t="s">
        <v>1502</v>
      </c>
      <c r="I662" s="2" t="s">
        <v>1503</v>
      </c>
      <c r="J662" s="34">
        <v>41642</v>
      </c>
      <c r="K662">
        <f t="shared" si="10"/>
        <v>229104</v>
      </c>
    </row>
    <row r="663" spans="1:11" x14ac:dyDescent="0.2">
      <c r="A663" s="32" t="s">
        <v>159</v>
      </c>
      <c r="B663" s="6" t="s">
        <v>158</v>
      </c>
      <c r="C663" s="6">
        <v>2844</v>
      </c>
      <c r="D663" s="33">
        <v>260</v>
      </c>
      <c r="E663" s="2">
        <v>125</v>
      </c>
      <c r="F663" s="2" t="s">
        <v>1504</v>
      </c>
      <c r="G663" s="3" t="s">
        <v>1505</v>
      </c>
      <c r="H663" s="35" t="s">
        <v>1506</v>
      </c>
      <c r="I663" s="2" t="s">
        <v>1507</v>
      </c>
      <c r="J663" s="34">
        <v>41644</v>
      </c>
      <c r="K663">
        <f t="shared" si="10"/>
        <v>305730</v>
      </c>
    </row>
    <row r="664" spans="1:11" x14ac:dyDescent="0.2">
      <c r="A664" s="32" t="s">
        <v>157</v>
      </c>
      <c r="B664" s="6" t="s">
        <v>158</v>
      </c>
      <c r="C664" s="6">
        <v>2475</v>
      </c>
      <c r="D664" s="33">
        <v>260</v>
      </c>
      <c r="E664" s="2">
        <v>12</v>
      </c>
      <c r="F664" s="2">
        <v>29700</v>
      </c>
      <c r="G664" s="3" t="s">
        <v>1508</v>
      </c>
      <c r="H664" s="35">
        <v>25542</v>
      </c>
      <c r="I664" s="2">
        <v>7425</v>
      </c>
      <c r="J664" s="34">
        <v>41647</v>
      </c>
      <c r="K664">
        <f t="shared" si="10"/>
        <v>25542</v>
      </c>
    </row>
    <row r="665" spans="1:11" x14ac:dyDescent="0.2">
      <c r="A665" s="32" t="s">
        <v>156</v>
      </c>
      <c r="B665" s="6" t="s">
        <v>158</v>
      </c>
      <c r="C665" s="6">
        <v>1743</v>
      </c>
      <c r="D665" s="33">
        <v>260</v>
      </c>
      <c r="E665" s="2">
        <v>15</v>
      </c>
      <c r="F665" s="2">
        <v>26145</v>
      </c>
      <c r="G665" s="3" t="s">
        <v>1465</v>
      </c>
      <c r="H665" s="35">
        <v>22484.7</v>
      </c>
      <c r="I665" s="2">
        <v>17430</v>
      </c>
      <c r="J665" s="34">
        <v>41284</v>
      </c>
      <c r="K665">
        <f t="shared" si="10"/>
        <v>22484.7</v>
      </c>
    </row>
    <row r="666" spans="1:11" x14ac:dyDescent="0.2">
      <c r="A666" s="32" t="s">
        <v>51</v>
      </c>
      <c r="B666" s="6" t="s">
        <v>158</v>
      </c>
      <c r="C666" s="6">
        <v>2914</v>
      </c>
      <c r="D666" s="33">
        <v>260</v>
      </c>
      <c r="E666" s="2">
        <v>12</v>
      </c>
      <c r="F666" s="2">
        <v>34968</v>
      </c>
      <c r="G666" s="3" t="s">
        <v>1466</v>
      </c>
      <c r="H666" s="35">
        <v>30072.48</v>
      </c>
      <c r="I666" s="2">
        <v>8742</v>
      </c>
      <c r="J666" s="34">
        <v>41649</v>
      </c>
      <c r="K666">
        <f t="shared" si="10"/>
        <v>30072.48</v>
      </c>
    </row>
    <row r="667" spans="1:11" x14ac:dyDescent="0.2">
      <c r="A667" s="32" t="s">
        <v>50</v>
      </c>
      <c r="B667" s="6" t="s">
        <v>158</v>
      </c>
      <c r="C667" s="6">
        <v>1731</v>
      </c>
      <c r="D667" s="33">
        <v>260</v>
      </c>
      <c r="E667" s="2">
        <v>7</v>
      </c>
      <c r="F667" s="2">
        <v>12117</v>
      </c>
      <c r="G667" s="3" t="s">
        <v>1467</v>
      </c>
      <c r="H667" s="35">
        <v>10420.620000000001</v>
      </c>
      <c r="I667" s="2">
        <v>8655</v>
      </c>
      <c r="J667" s="34">
        <v>41649</v>
      </c>
      <c r="K667">
        <f t="shared" si="10"/>
        <v>10420.620000000001</v>
      </c>
    </row>
    <row r="668" spans="1:11" x14ac:dyDescent="0.2">
      <c r="A668" s="32" t="s">
        <v>121</v>
      </c>
      <c r="B668" s="6" t="s">
        <v>158</v>
      </c>
      <c r="C668" s="6">
        <v>1727</v>
      </c>
      <c r="D668" s="33">
        <v>260</v>
      </c>
      <c r="E668" s="2">
        <v>7</v>
      </c>
      <c r="F668" s="2">
        <v>12089</v>
      </c>
      <c r="G668" s="3" t="s">
        <v>1462</v>
      </c>
      <c r="H668" s="35">
        <v>10396.540000000001</v>
      </c>
      <c r="I668" s="2">
        <v>8635</v>
      </c>
      <c r="J668" s="34">
        <v>41284</v>
      </c>
      <c r="K668">
        <f t="shared" si="10"/>
        <v>10396.540000000001</v>
      </c>
    </row>
    <row r="669" spans="1:11" x14ac:dyDescent="0.2">
      <c r="A669" s="32" t="s">
        <v>163</v>
      </c>
      <c r="B669" s="6" t="s">
        <v>158</v>
      </c>
      <c r="C669" s="6">
        <v>1870</v>
      </c>
      <c r="D669" s="33">
        <v>260</v>
      </c>
      <c r="E669" s="2">
        <v>15</v>
      </c>
      <c r="F669" s="2">
        <v>28050</v>
      </c>
      <c r="G669" s="3" t="s">
        <v>1509</v>
      </c>
      <c r="H669" s="35">
        <v>24123</v>
      </c>
      <c r="I669" s="2">
        <v>18700</v>
      </c>
      <c r="J669" s="34">
        <v>41285</v>
      </c>
      <c r="K669">
        <f t="shared" si="10"/>
        <v>24123</v>
      </c>
    </row>
    <row r="670" spans="1:11" x14ac:dyDescent="0.2">
      <c r="A670" s="32" t="s">
        <v>109</v>
      </c>
      <c r="B670" s="6" t="s">
        <v>158</v>
      </c>
      <c r="C670" s="6">
        <v>1174</v>
      </c>
      <c r="D670" s="33">
        <v>3</v>
      </c>
      <c r="E670" s="2">
        <v>125</v>
      </c>
      <c r="F670" s="2" t="s">
        <v>1510</v>
      </c>
      <c r="G670" s="3" t="s">
        <v>1511</v>
      </c>
      <c r="H670" s="35" t="s">
        <v>1512</v>
      </c>
      <c r="I670" s="2" t="s">
        <v>1513</v>
      </c>
      <c r="J670" s="34">
        <v>41647</v>
      </c>
      <c r="K670">
        <f t="shared" si="10"/>
        <v>124737.5</v>
      </c>
    </row>
    <row r="671" spans="1:11" x14ac:dyDescent="0.2">
      <c r="A671" s="32" t="s">
        <v>135</v>
      </c>
      <c r="B671" s="6" t="s">
        <v>158</v>
      </c>
      <c r="C671" s="6">
        <v>2767</v>
      </c>
      <c r="D671" s="33">
        <v>3</v>
      </c>
      <c r="E671" s="2">
        <v>125</v>
      </c>
      <c r="F671" s="2" t="s">
        <v>1514</v>
      </c>
      <c r="G671" s="3" t="s">
        <v>1515</v>
      </c>
      <c r="H671" s="35" t="s">
        <v>1516</v>
      </c>
      <c r="I671" s="2" t="s">
        <v>1517</v>
      </c>
      <c r="J671" s="34">
        <v>41647</v>
      </c>
      <c r="K671">
        <f t="shared" si="10"/>
        <v>293993.75</v>
      </c>
    </row>
    <row r="672" spans="1:11" x14ac:dyDescent="0.2">
      <c r="A672" s="32" t="s">
        <v>135</v>
      </c>
      <c r="B672" s="6" t="s">
        <v>158</v>
      </c>
      <c r="C672" s="6">
        <v>1085</v>
      </c>
      <c r="D672" s="33">
        <v>3</v>
      </c>
      <c r="E672" s="2">
        <v>125</v>
      </c>
      <c r="F672" s="2" t="s">
        <v>1518</v>
      </c>
      <c r="G672" s="3" t="s">
        <v>1519</v>
      </c>
      <c r="H672" s="35" t="s">
        <v>1520</v>
      </c>
      <c r="I672" s="2" t="s">
        <v>1521</v>
      </c>
      <c r="J672" s="34">
        <v>41649</v>
      </c>
      <c r="K672">
        <f t="shared" si="10"/>
        <v>115281.25</v>
      </c>
    </row>
    <row r="673" spans="1:11" x14ac:dyDescent="0.2">
      <c r="A673" s="32" t="s">
        <v>23</v>
      </c>
      <c r="B673" s="6" t="s">
        <v>158</v>
      </c>
      <c r="C673" s="6">
        <v>546</v>
      </c>
      <c r="D673" s="33">
        <v>5</v>
      </c>
      <c r="E673" s="2">
        <v>300</v>
      </c>
      <c r="F673" s="2" t="s">
        <v>1522</v>
      </c>
      <c r="G673" s="3" t="s">
        <v>1523</v>
      </c>
      <c r="H673" s="35" t="s">
        <v>1524</v>
      </c>
      <c r="I673" s="2" t="s">
        <v>1525</v>
      </c>
      <c r="J673" s="34">
        <v>41649</v>
      </c>
      <c r="K673">
        <f t="shared" si="10"/>
        <v>139230</v>
      </c>
    </row>
    <row r="674" spans="1:11" x14ac:dyDescent="0.2">
      <c r="A674" s="32" t="s">
        <v>29</v>
      </c>
      <c r="B674" s="6" t="s">
        <v>158</v>
      </c>
      <c r="C674" s="6">
        <v>1158</v>
      </c>
      <c r="D674" s="33">
        <v>10</v>
      </c>
      <c r="E674" s="2">
        <v>20</v>
      </c>
      <c r="F674" s="2">
        <v>23160</v>
      </c>
      <c r="G674" s="3" t="s">
        <v>1526</v>
      </c>
      <c r="H674" s="35">
        <v>19686</v>
      </c>
      <c r="I674" s="2">
        <v>11580</v>
      </c>
      <c r="J674" s="34">
        <v>41642</v>
      </c>
      <c r="K674">
        <f t="shared" si="10"/>
        <v>19686</v>
      </c>
    </row>
    <row r="675" spans="1:11" x14ac:dyDescent="0.2">
      <c r="A675" s="32" t="s">
        <v>36</v>
      </c>
      <c r="B675" s="6" t="s">
        <v>158</v>
      </c>
      <c r="C675" s="6">
        <v>1614</v>
      </c>
      <c r="D675" s="33">
        <v>10</v>
      </c>
      <c r="E675" s="2">
        <v>15</v>
      </c>
      <c r="F675" s="2">
        <v>24210</v>
      </c>
      <c r="G675" s="3" t="s">
        <v>1527</v>
      </c>
      <c r="H675" s="35">
        <v>20578.5</v>
      </c>
      <c r="I675" s="2">
        <v>16140</v>
      </c>
      <c r="J675" s="34">
        <v>41643</v>
      </c>
      <c r="K675">
        <f t="shared" si="10"/>
        <v>20578.5</v>
      </c>
    </row>
    <row r="676" spans="1:11" x14ac:dyDescent="0.2">
      <c r="A676" s="32" t="s">
        <v>31</v>
      </c>
      <c r="B676" s="6" t="s">
        <v>158</v>
      </c>
      <c r="C676" s="6">
        <v>2535</v>
      </c>
      <c r="D676" s="33">
        <v>10</v>
      </c>
      <c r="E676" s="2">
        <v>7</v>
      </c>
      <c r="F676" s="2">
        <v>17745</v>
      </c>
      <c r="G676" s="3" t="s">
        <v>1528</v>
      </c>
      <c r="H676" s="35">
        <v>15083.25</v>
      </c>
      <c r="I676" s="2">
        <v>12675</v>
      </c>
      <c r="J676" s="34">
        <v>41643</v>
      </c>
      <c r="K676">
        <f t="shared" si="10"/>
        <v>15083.25</v>
      </c>
    </row>
    <row r="677" spans="1:11" x14ac:dyDescent="0.2">
      <c r="A677" s="32" t="s">
        <v>31</v>
      </c>
      <c r="B677" s="6" t="s">
        <v>158</v>
      </c>
      <c r="C677" s="6">
        <v>2851</v>
      </c>
      <c r="D677" s="33">
        <v>10</v>
      </c>
      <c r="E677" s="2">
        <v>350</v>
      </c>
      <c r="F677" s="2" t="s">
        <v>1529</v>
      </c>
      <c r="G677" s="3" t="s">
        <v>1530</v>
      </c>
      <c r="H677" s="35" t="s">
        <v>1531</v>
      </c>
      <c r="I677" s="2" t="s">
        <v>1532</v>
      </c>
      <c r="J677" s="34">
        <v>41644</v>
      </c>
      <c r="K677">
        <f t="shared" si="10"/>
        <v>848172.5</v>
      </c>
    </row>
    <row r="678" spans="1:11" x14ac:dyDescent="0.2">
      <c r="A678" s="32" t="s">
        <v>36</v>
      </c>
      <c r="B678" s="6" t="s">
        <v>158</v>
      </c>
      <c r="C678" s="6">
        <v>2559</v>
      </c>
      <c r="D678" s="33">
        <v>10</v>
      </c>
      <c r="E678" s="2">
        <v>15</v>
      </c>
      <c r="F678" s="2">
        <v>38385</v>
      </c>
      <c r="G678" s="3" t="s">
        <v>1533</v>
      </c>
      <c r="H678" s="35">
        <v>32627.25</v>
      </c>
      <c r="I678" s="2">
        <v>25590</v>
      </c>
      <c r="J678" s="34">
        <v>41647</v>
      </c>
      <c r="K678">
        <f t="shared" si="10"/>
        <v>32627.25</v>
      </c>
    </row>
    <row r="679" spans="1:11" x14ac:dyDescent="0.2">
      <c r="A679" s="32" t="s">
        <v>34</v>
      </c>
      <c r="B679" s="6" t="s">
        <v>158</v>
      </c>
      <c r="C679" s="6">
        <v>267</v>
      </c>
      <c r="D679" s="33">
        <v>10</v>
      </c>
      <c r="E679" s="2">
        <v>20</v>
      </c>
      <c r="F679" s="2">
        <v>5340</v>
      </c>
      <c r="G679" s="3" t="s">
        <v>1534</v>
      </c>
      <c r="H679" s="35">
        <v>4539</v>
      </c>
      <c r="I679" s="2">
        <v>2670</v>
      </c>
      <c r="J679" s="34">
        <v>41284</v>
      </c>
      <c r="K679">
        <f t="shared" si="10"/>
        <v>4539</v>
      </c>
    </row>
    <row r="680" spans="1:11" x14ac:dyDescent="0.2">
      <c r="A680" s="32" t="s">
        <v>93</v>
      </c>
      <c r="B680" s="6" t="s">
        <v>158</v>
      </c>
      <c r="C680" s="6">
        <v>1085</v>
      </c>
      <c r="D680" s="33">
        <v>10</v>
      </c>
      <c r="E680" s="2">
        <v>125</v>
      </c>
      <c r="F680" s="2" t="s">
        <v>1518</v>
      </c>
      <c r="G680" s="3" t="s">
        <v>1519</v>
      </c>
      <c r="H680" s="35" t="s">
        <v>1520</v>
      </c>
      <c r="I680" s="2" t="s">
        <v>1521</v>
      </c>
      <c r="J680" s="34">
        <v>41649</v>
      </c>
      <c r="K680">
        <f t="shared" si="10"/>
        <v>115281.25</v>
      </c>
    </row>
    <row r="681" spans="1:11" x14ac:dyDescent="0.2">
      <c r="A681" s="32" t="s">
        <v>75</v>
      </c>
      <c r="B681" s="6" t="s">
        <v>158</v>
      </c>
      <c r="C681" s="6">
        <v>1175</v>
      </c>
      <c r="D681" s="33">
        <v>10</v>
      </c>
      <c r="E681" s="2">
        <v>15</v>
      </c>
      <c r="F681" s="2">
        <v>17625</v>
      </c>
      <c r="G681" s="3" t="s">
        <v>1535</v>
      </c>
      <c r="H681" s="35">
        <v>14981.25</v>
      </c>
      <c r="I681" s="2">
        <v>11750</v>
      </c>
      <c r="J681" s="34">
        <v>41649</v>
      </c>
      <c r="K681">
        <f t="shared" si="10"/>
        <v>14981.25</v>
      </c>
    </row>
    <row r="682" spans="1:11" x14ac:dyDescent="0.2">
      <c r="A682" s="32" t="s">
        <v>34</v>
      </c>
      <c r="B682" s="6" t="s">
        <v>158</v>
      </c>
      <c r="C682" s="6">
        <v>2007</v>
      </c>
      <c r="D682" s="33">
        <v>10</v>
      </c>
      <c r="E682" s="2">
        <v>350</v>
      </c>
      <c r="F682" s="2" t="s">
        <v>1536</v>
      </c>
      <c r="G682" s="3" t="s">
        <v>1537</v>
      </c>
      <c r="H682" s="35" t="s">
        <v>1538</v>
      </c>
      <c r="I682" s="2" t="s">
        <v>1539</v>
      </c>
      <c r="J682" s="34">
        <v>41285</v>
      </c>
      <c r="K682">
        <f t="shared" si="10"/>
        <v>597082.5</v>
      </c>
    </row>
    <row r="683" spans="1:11" x14ac:dyDescent="0.2">
      <c r="A683" s="32" t="s">
        <v>31</v>
      </c>
      <c r="B683" s="6" t="s">
        <v>158</v>
      </c>
      <c r="C683" s="6">
        <v>2151</v>
      </c>
      <c r="D683" s="33">
        <v>10</v>
      </c>
      <c r="E683" s="2">
        <v>350</v>
      </c>
      <c r="F683" s="2" t="s">
        <v>1540</v>
      </c>
      <c r="G683" s="3" t="s">
        <v>1541</v>
      </c>
      <c r="H683" s="35" t="s">
        <v>1542</v>
      </c>
      <c r="I683" s="2" t="s">
        <v>1543</v>
      </c>
      <c r="J683" s="34">
        <v>41285</v>
      </c>
      <c r="K683">
        <f t="shared" si="10"/>
        <v>639922.5</v>
      </c>
    </row>
    <row r="684" spans="1:11" x14ac:dyDescent="0.2">
      <c r="A684" s="32" t="s">
        <v>35</v>
      </c>
      <c r="B684" s="6" t="s">
        <v>158</v>
      </c>
      <c r="C684" s="6">
        <v>914</v>
      </c>
      <c r="D684" s="33">
        <v>10</v>
      </c>
      <c r="E684" s="2">
        <v>12</v>
      </c>
      <c r="F684" s="2">
        <v>10968</v>
      </c>
      <c r="G684" s="3" t="s">
        <v>1544</v>
      </c>
      <c r="H684" s="35">
        <v>9322.7999999999993</v>
      </c>
      <c r="I684" s="2">
        <v>2742</v>
      </c>
      <c r="J684" s="34">
        <v>41651</v>
      </c>
      <c r="K684">
        <f t="shared" si="10"/>
        <v>9322.7999999999993</v>
      </c>
    </row>
    <row r="685" spans="1:11" x14ac:dyDescent="0.2">
      <c r="A685" s="32" t="s">
        <v>56</v>
      </c>
      <c r="B685" s="6" t="s">
        <v>158</v>
      </c>
      <c r="C685" s="6">
        <v>293</v>
      </c>
      <c r="D685" s="33">
        <v>10</v>
      </c>
      <c r="E685" s="2">
        <v>20</v>
      </c>
      <c r="F685" s="2">
        <v>5860</v>
      </c>
      <c r="G685" s="3" t="s">
        <v>1545</v>
      </c>
      <c r="H685" s="35">
        <v>4981</v>
      </c>
      <c r="I685" s="2">
        <v>2930</v>
      </c>
      <c r="J685" s="34">
        <v>41651</v>
      </c>
      <c r="K685">
        <f t="shared" si="10"/>
        <v>4981</v>
      </c>
    </row>
    <row r="686" spans="1:11" x14ac:dyDescent="0.2">
      <c r="A686" s="32" t="s">
        <v>102</v>
      </c>
      <c r="B686" s="6" t="s">
        <v>158</v>
      </c>
      <c r="C686" s="6">
        <v>500</v>
      </c>
      <c r="D686" s="33">
        <v>120</v>
      </c>
      <c r="E686" s="2">
        <v>12</v>
      </c>
      <c r="F686" s="2">
        <v>6000</v>
      </c>
      <c r="G686" s="3" t="s">
        <v>1546</v>
      </c>
      <c r="H686" s="35">
        <v>5100</v>
      </c>
      <c r="I686" s="2">
        <v>1500</v>
      </c>
      <c r="J686" s="34">
        <v>41642</v>
      </c>
      <c r="K686">
        <f t="shared" si="10"/>
        <v>5100</v>
      </c>
    </row>
    <row r="687" spans="1:11" x14ac:dyDescent="0.2">
      <c r="A687" s="32" t="s">
        <v>164</v>
      </c>
      <c r="B687" s="6" t="s">
        <v>158</v>
      </c>
      <c r="C687" s="6">
        <v>2826</v>
      </c>
      <c r="D687" s="33">
        <v>120</v>
      </c>
      <c r="E687" s="2">
        <v>15</v>
      </c>
      <c r="F687" s="2">
        <v>42390</v>
      </c>
      <c r="G687" s="3" t="s">
        <v>1547</v>
      </c>
      <c r="H687" s="35">
        <v>36031.5</v>
      </c>
      <c r="I687" s="2">
        <v>28260</v>
      </c>
      <c r="J687" s="34">
        <v>41644</v>
      </c>
      <c r="K687">
        <f t="shared" si="10"/>
        <v>36031.5</v>
      </c>
    </row>
    <row r="688" spans="1:11" x14ac:dyDescent="0.2">
      <c r="A688" s="32" t="s">
        <v>38</v>
      </c>
      <c r="B688" s="6" t="s">
        <v>158</v>
      </c>
      <c r="C688" s="6">
        <v>663</v>
      </c>
      <c r="D688" s="33">
        <v>120</v>
      </c>
      <c r="E688" s="2">
        <v>125</v>
      </c>
      <c r="F688" s="2">
        <v>82875</v>
      </c>
      <c r="G688" s="3" t="s">
        <v>1548</v>
      </c>
      <c r="H688" s="35">
        <v>70443.75</v>
      </c>
      <c r="I688" s="2">
        <v>79560</v>
      </c>
      <c r="J688" s="34">
        <v>41648</v>
      </c>
      <c r="K688">
        <f t="shared" si="10"/>
        <v>70443.75</v>
      </c>
    </row>
    <row r="689" spans="1:11" x14ac:dyDescent="0.2">
      <c r="A689" s="32" t="s">
        <v>144</v>
      </c>
      <c r="B689" s="6" t="s">
        <v>158</v>
      </c>
      <c r="C689" s="6">
        <v>2574</v>
      </c>
      <c r="D689" s="33">
        <v>120</v>
      </c>
      <c r="E689" s="2">
        <v>300</v>
      </c>
      <c r="F689" s="2" t="s">
        <v>1549</v>
      </c>
      <c r="G689" s="3" t="s">
        <v>1550</v>
      </c>
      <c r="H689" s="35" t="s">
        <v>1551</v>
      </c>
      <c r="I689" s="2" t="s">
        <v>1552</v>
      </c>
      <c r="J689" s="34">
        <v>41285</v>
      </c>
      <c r="K689">
        <f t="shared" si="10"/>
        <v>656370</v>
      </c>
    </row>
    <row r="690" spans="1:11" x14ac:dyDescent="0.2">
      <c r="A690" s="32" t="s">
        <v>41</v>
      </c>
      <c r="B690" s="6" t="s">
        <v>158</v>
      </c>
      <c r="C690" s="6">
        <v>2438</v>
      </c>
      <c r="D690" s="33">
        <v>120</v>
      </c>
      <c r="E690" s="2">
        <v>125</v>
      </c>
      <c r="F690" s="2" t="s">
        <v>1553</v>
      </c>
      <c r="G690" s="3" t="s">
        <v>1554</v>
      </c>
      <c r="H690" s="35" t="s">
        <v>1555</v>
      </c>
      <c r="I690" s="2" t="s">
        <v>1556</v>
      </c>
      <c r="J690" s="34">
        <v>41286</v>
      </c>
      <c r="K690">
        <f t="shared" si="10"/>
        <v>259037.5</v>
      </c>
    </row>
    <row r="691" spans="1:11" x14ac:dyDescent="0.2">
      <c r="A691" s="32" t="s">
        <v>118</v>
      </c>
      <c r="B691" s="6" t="s">
        <v>158</v>
      </c>
      <c r="C691" s="6">
        <v>914</v>
      </c>
      <c r="D691" s="33">
        <v>120</v>
      </c>
      <c r="E691" s="2">
        <v>12</v>
      </c>
      <c r="F691" s="2">
        <v>10968</v>
      </c>
      <c r="G691" s="3" t="s">
        <v>1544</v>
      </c>
      <c r="H691" s="35">
        <v>9322.7999999999993</v>
      </c>
      <c r="I691" s="2">
        <v>2742</v>
      </c>
      <c r="J691" s="34">
        <v>41651</v>
      </c>
      <c r="K691">
        <f t="shared" si="10"/>
        <v>9322.7999999999993</v>
      </c>
    </row>
    <row r="692" spans="1:11" x14ac:dyDescent="0.2">
      <c r="A692" s="32" t="s">
        <v>49</v>
      </c>
      <c r="B692" s="6" t="s">
        <v>158</v>
      </c>
      <c r="C692" s="6">
        <v>865.5</v>
      </c>
      <c r="D692" s="33">
        <v>250</v>
      </c>
      <c r="E692" s="2">
        <v>20</v>
      </c>
      <c r="F692" s="2">
        <v>17310</v>
      </c>
      <c r="G692" s="3" t="s">
        <v>1557</v>
      </c>
      <c r="H692" s="35">
        <v>14713.5</v>
      </c>
      <c r="I692" s="2">
        <v>8655</v>
      </c>
      <c r="J692" s="34">
        <v>41646</v>
      </c>
      <c r="K692">
        <f t="shared" si="10"/>
        <v>14713.5</v>
      </c>
    </row>
    <row r="693" spans="1:11" x14ac:dyDescent="0.2">
      <c r="A693" s="32" t="s">
        <v>46</v>
      </c>
      <c r="B693" s="6" t="s">
        <v>158</v>
      </c>
      <c r="C693" s="6">
        <v>492</v>
      </c>
      <c r="D693" s="33">
        <v>250</v>
      </c>
      <c r="E693" s="2">
        <v>15</v>
      </c>
      <c r="F693" s="2">
        <v>7380</v>
      </c>
      <c r="G693" s="3" t="s">
        <v>1558</v>
      </c>
      <c r="H693" s="35">
        <v>6273</v>
      </c>
      <c r="I693" s="2">
        <v>4920</v>
      </c>
      <c r="J693" s="34">
        <v>41646</v>
      </c>
      <c r="K693">
        <f t="shared" si="10"/>
        <v>6273</v>
      </c>
    </row>
    <row r="694" spans="1:11" x14ac:dyDescent="0.2">
      <c r="A694" s="32" t="s">
        <v>105</v>
      </c>
      <c r="B694" s="6" t="s">
        <v>158</v>
      </c>
      <c r="C694" s="6">
        <v>267</v>
      </c>
      <c r="D694" s="33">
        <v>250</v>
      </c>
      <c r="E694" s="2">
        <v>20</v>
      </c>
      <c r="F694" s="2">
        <v>5340</v>
      </c>
      <c r="G694" s="3" t="s">
        <v>1534</v>
      </c>
      <c r="H694" s="35">
        <v>4539</v>
      </c>
      <c r="I694" s="2">
        <v>2670</v>
      </c>
      <c r="J694" s="34">
        <v>41284</v>
      </c>
      <c r="K694">
        <f t="shared" si="10"/>
        <v>4539</v>
      </c>
    </row>
    <row r="695" spans="1:11" x14ac:dyDescent="0.2">
      <c r="A695" s="32" t="s">
        <v>46</v>
      </c>
      <c r="B695" s="6" t="s">
        <v>158</v>
      </c>
      <c r="C695" s="6">
        <v>1175</v>
      </c>
      <c r="D695" s="33">
        <v>250</v>
      </c>
      <c r="E695" s="2">
        <v>15</v>
      </c>
      <c r="F695" s="2">
        <v>17625</v>
      </c>
      <c r="G695" s="3" t="s">
        <v>1535</v>
      </c>
      <c r="H695" s="35">
        <v>14981.25</v>
      </c>
      <c r="I695" s="2">
        <v>11750</v>
      </c>
      <c r="J695" s="34">
        <v>41649</v>
      </c>
      <c r="K695">
        <f t="shared" si="10"/>
        <v>14981.25</v>
      </c>
    </row>
    <row r="696" spans="1:11" x14ac:dyDescent="0.2">
      <c r="A696" s="32" t="s">
        <v>104</v>
      </c>
      <c r="B696" s="6" t="s">
        <v>158</v>
      </c>
      <c r="C696" s="6">
        <v>2954</v>
      </c>
      <c r="D696" s="33">
        <v>250</v>
      </c>
      <c r="E696" s="2">
        <v>125</v>
      </c>
      <c r="F696" s="2" t="s">
        <v>1559</v>
      </c>
      <c r="G696" s="3" t="s">
        <v>1560</v>
      </c>
      <c r="H696" s="35" t="s">
        <v>1561</v>
      </c>
      <c r="I696" s="2" t="s">
        <v>1562</v>
      </c>
      <c r="J696" s="34">
        <v>41285</v>
      </c>
      <c r="K696">
        <f t="shared" si="10"/>
        <v>313862.5</v>
      </c>
    </row>
    <row r="697" spans="1:11" x14ac:dyDescent="0.2">
      <c r="A697" s="32" t="s">
        <v>115</v>
      </c>
      <c r="B697" s="6" t="s">
        <v>158</v>
      </c>
      <c r="C697" s="6">
        <v>552</v>
      </c>
      <c r="D697" s="33">
        <v>250</v>
      </c>
      <c r="E697" s="2">
        <v>125</v>
      </c>
      <c r="F697" s="2">
        <v>69000</v>
      </c>
      <c r="G697" s="3" t="s">
        <v>1563</v>
      </c>
      <c r="H697" s="35">
        <v>58650</v>
      </c>
      <c r="I697" s="2">
        <v>66240</v>
      </c>
      <c r="J697" s="34">
        <v>41650</v>
      </c>
      <c r="K697">
        <f t="shared" si="10"/>
        <v>58650</v>
      </c>
    </row>
    <row r="698" spans="1:11" x14ac:dyDescent="0.2">
      <c r="A698" s="32" t="s">
        <v>47</v>
      </c>
      <c r="B698" s="6" t="s">
        <v>158</v>
      </c>
      <c r="C698" s="6">
        <v>293</v>
      </c>
      <c r="D698" s="33">
        <v>250</v>
      </c>
      <c r="E698" s="2">
        <v>20</v>
      </c>
      <c r="F698" s="2">
        <v>5860</v>
      </c>
      <c r="G698" s="3" t="s">
        <v>1545</v>
      </c>
      <c r="H698" s="35">
        <v>4981</v>
      </c>
      <c r="I698" s="2">
        <v>2930</v>
      </c>
      <c r="J698" s="34">
        <v>41651</v>
      </c>
      <c r="K698">
        <f t="shared" si="10"/>
        <v>4981</v>
      </c>
    </row>
    <row r="699" spans="1:11" x14ac:dyDescent="0.2">
      <c r="A699" s="32" t="s">
        <v>162</v>
      </c>
      <c r="B699" s="6" t="s">
        <v>158</v>
      </c>
      <c r="C699" s="6">
        <v>2475</v>
      </c>
      <c r="D699" s="33">
        <v>260</v>
      </c>
      <c r="E699" s="2">
        <v>300</v>
      </c>
      <c r="F699" s="2" t="s">
        <v>1564</v>
      </c>
      <c r="G699" s="3" t="s">
        <v>1565</v>
      </c>
      <c r="H699" s="35" t="s">
        <v>1566</v>
      </c>
      <c r="I699" s="2" t="s">
        <v>1567</v>
      </c>
      <c r="J699" s="34">
        <v>41642</v>
      </c>
      <c r="K699">
        <f t="shared" si="10"/>
        <v>631125</v>
      </c>
    </row>
    <row r="700" spans="1:11" x14ac:dyDescent="0.2">
      <c r="A700" s="32" t="s">
        <v>107</v>
      </c>
      <c r="B700" s="6" t="s">
        <v>158</v>
      </c>
      <c r="C700" s="6">
        <v>546</v>
      </c>
      <c r="D700" s="33">
        <v>260</v>
      </c>
      <c r="E700" s="2">
        <v>300</v>
      </c>
      <c r="F700" s="2" t="s">
        <v>1522</v>
      </c>
      <c r="G700" s="3" t="s">
        <v>1523</v>
      </c>
      <c r="H700" s="35" t="s">
        <v>1524</v>
      </c>
      <c r="I700" s="2" t="s">
        <v>1525</v>
      </c>
      <c r="J700" s="34">
        <v>41649</v>
      </c>
      <c r="K700">
        <f t="shared" si="10"/>
        <v>139230</v>
      </c>
    </row>
    <row r="701" spans="1:11" x14ac:dyDescent="0.2">
      <c r="A701" s="32" t="s">
        <v>128</v>
      </c>
      <c r="B701" s="6" t="s">
        <v>158</v>
      </c>
      <c r="C701" s="6">
        <v>1368</v>
      </c>
      <c r="D701" s="33">
        <v>5</v>
      </c>
      <c r="E701" s="2">
        <v>7</v>
      </c>
      <c r="F701" s="2">
        <v>9576</v>
      </c>
      <c r="G701" s="3" t="s">
        <v>1568</v>
      </c>
      <c r="H701" s="35">
        <v>8139.6</v>
      </c>
      <c r="I701" s="2">
        <v>6840</v>
      </c>
      <c r="J701" s="34">
        <v>41641</v>
      </c>
      <c r="K701">
        <f t="shared" si="10"/>
        <v>8139.6</v>
      </c>
    </row>
    <row r="702" spans="1:11" x14ac:dyDescent="0.2">
      <c r="A702" s="32" t="s">
        <v>26</v>
      </c>
      <c r="B702" s="6" t="s">
        <v>158</v>
      </c>
      <c r="C702" s="6">
        <v>723</v>
      </c>
      <c r="D702" s="33">
        <v>10</v>
      </c>
      <c r="E702" s="2">
        <v>7</v>
      </c>
      <c r="F702" s="2">
        <v>5061</v>
      </c>
      <c r="G702" s="3" t="s">
        <v>1569</v>
      </c>
      <c r="H702" s="35">
        <v>4301.8500000000004</v>
      </c>
      <c r="I702" s="2">
        <v>3615</v>
      </c>
      <c r="J702" s="34">
        <v>41643</v>
      </c>
      <c r="K702">
        <f t="shared" si="10"/>
        <v>4301.8500000000004</v>
      </c>
    </row>
    <row r="703" spans="1:11" x14ac:dyDescent="0.2">
      <c r="A703" s="32" t="s">
        <v>155</v>
      </c>
      <c r="B703" s="6" t="s">
        <v>158</v>
      </c>
      <c r="C703" s="6">
        <v>1806</v>
      </c>
      <c r="D703" s="33">
        <v>250</v>
      </c>
      <c r="E703" s="2">
        <v>12</v>
      </c>
      <c r="F703" s="2">
        <v>21672</v>
      </c>
      <c r="G703" s="3" t="s">
        <v>1570</v>
      </c>
      <c r="H703" s="35">
        <v>18421.2</v>
      </c>
      <c r="I703" s="2">
        <v>5418</v>
      </c>
      <c r="J703" s="34">
        <v>41644</v>
      </c>
      <c r="K703">
        <f t="shared" si="10"/>
        <v>18421.2</v>
      </c>
    </row>
    <row r="704" spans="1:11" x14ac:dyDescent="0.2">
      <c r="E704" s="4"/>
      <c r="F704" s="4"/>
      <c r="G704" s="5"/>
      <c r="H704" s="4"/>
      <c r="I704" s="4"/>
    </row>
    <row r="705" spans="5:9" x14ac:dyDescent="0.2">
      <c r="E705" s="4"/>
      <c r="F705" s="4"/>
      <c r="G705" s="5"/>
      <c r="H705" s="4"/>
      <c r="I705" s="4"/>
    </row>
    <row r="706" spans="5:9" x14ac:dyDescent="0.2">
      <c r="E706" s="4"/>
      <c r="F706" s="4"/>
      <c r="G706" s="5"/>
      <c r="H706" s="4"/>
      <c r="I706" s="4"/>
    </row>
    <row r="707" spans="5:9" x14ac:dyDescent="0.2">
      <c r="E707" s="4"/>
      <c r="F707" s="4"/>
      <c r="G707" s="5"/>
      <c r="H707" s="4"/>
      <c r="I707" s="4"/>
    </row>
    <row r="708" spans="5:9" x14ac:dyDescent="0.2">
      <c r="E708" s="4"/>
      <c r="F708" s="4"/>
      <c r="G708" s="5"/>
      <c r="H708" s="4"/>
      <c r="I708" s="4"/>
    </row>
    <row r="709" spans="5:9" x14ac:dyDescent="0.2">
      <c r="E709" s="4"/>
      <c r="F709" s="4"/>
      <c r="G709" s="5"/>
      <c r="H709" s="4"/>
      <c r="I709" s="4"/>
    </row>
    <row r="710" spans="5:9" x14ac:dyDescent="0.2">
      <c r="E710" s="4"/>
      <c r="F710" s="4"/>
      <c r="G710" s="5"/>
      <c r="H710" s="4"/>
      <c r="I710" s="4"/>
    </row>
    <row r="711" spans="5:9" x14ac:dyDescent="0.2">
      <c r="E711" s="4"/>
      <c r="F711" s="4"/>
      <c r="G711" s="5"/>
      <c r="H711" s="4"/>
      <c r="I711" s="4"/>
    </row>
    <row r="712" spans="5:9" x14ac:dyDescent="0.2">
      <c r="E712" s="4"/>
      <c r="F712" s="4"/>
      <c r="G712" s="5"/>
      <c r="H712" s="4"/>
      <c r="I712" s="4"/>
    </row>
    <row r="713" spans="5:9" x14ac:dyDescent="0.2">
      <c r="E713" s="4"/>
      <c r="F713" s="4"/>
      <c r="G713" s="5"/>
      <c r="H713" s="4"/>
      <c r="I713" s="4"/>
    </row>
    <row r="714" spans="5:9" x14ac:dyDescent="0.2">
      <c r="E714" s="4"/>
      <c r="F714" s="4"/>
      <c r="G714" s="5"/>
      <c r="H714" s="4"/>
      <c r="I714" s="4"/>
    </row>
    <row r="715" spans="5:9" x14ac:dyDescent="0.2">
      <c r="E715" s="4"/>
      <c r="F715" s="4"/>
      <c r="G715" s="5"/>
      <c r="H715" s="4"/>
      <c r="I715" s="4"/>
    </row>
    <row r="716" spans="5:9" x14ac:dyDescent="0.2">
      <c r="E716" s="4"/>
      <c r="F716" s="4"/>
      <c r="G716" s="5"/>
      <c r="H716" s="4"/>
      <c r="I716" s="4"/>
    </row>
    <row r="717" spans="5:9" x14ac:dyDescent="0.2">
      <c r="E717" s="4"/>
      <c r="F717" s="4"/>
      <c r="G717" s="5"/>
      <c r="H717" s="4"/>
      <c r="I717" s="4"/>
    </row>
    <row r="718" spans="5:9" x14ac:dyDescent="0.2">
      <c r="E718" s="4"/>
      <c r="F718" s="4"/>
      <c r="G718" s="5"/>
      <c r="H718" s="4"/>
      <c r="I718" s="4"/>
    </row>
    <row r="719" spans="5:9" x14ac:dyDescent="0.2">
      <c r="E719" s="4"/>
      <c r="F719" s="4"/>
      <c r="G719" s="5"/>
      <c r="H719" s="4"/>
      <c r="I719" s="4"/>
    </row>
    <row r="720" spans="5:9" x14ac:dyDescent="0.2">
      <c r="E720" s="4"/>
      <c r="F720" s="4"/>
      <c r="G720" s="5"/>
      <c r="H720" s="4"/>
      <c r="I720" s="4"/>
    </row>
    <row r="721" spans="5:9" x14ac:dyDescent="0.2">
      <c r="E721" s="4"/>
      <c r="F721" s="4"/>
      <c r="G721" s="5"/>
      <c r="H721" s="4"/>
      <c r="I721" s="4"/>
    </row>
    <row r="722" spans="5:9" x14ac:dyDescent="0.2">
      <c r="E722" s="4"/>
      <c r="F722" s="4"/>
      <c r="G722" s="5"/>
      <c r="H722" s="4"/>
      <c r="I722" s="4"/>
    </row>
    <row r="723" spans="5:9" x14ac:dyDescent="0.2">
      <c r="E723" s="4"/>
      <c r="F723" s="4"/>
      <c r="G723" s="5"/>
      <c r="H723" s="4"/>
      <c r="I723" s="4"/>
    </row>
    <row r="724" spans="5:9" x14ac:dyDescent="0.2">
      <c r="E724" s="4"/>
      <c r="F724" s="4"/>
      <c r="G724" s="5"/>
      <c r="H724" s="4"/>
      <c r="I724" s="4"/>
    </row>
    <row r="725" spans="5:9" x14ac:dyDescent="0.2">
      <c r="E725" s="4"/>
      <c r="F725" s="4"/>
      <c r="G725" s="5"/>
      <c r="H725" s="4"/>
      <c r="I725" s="4"/>
    </row>
    <row r="726" spans="5:9" x14ac:dyDescent="0.2">
      <c r="E726" s="4"/>
      <c r="F726" s="4"/>
      <c r="G726" s="5"/>
      <c r="H726" s="4"/>
      <c r="I726" s="4"/>
    </row>
    <row r="727" spans="5:9" x14ac:dyDescent="0.2">
      <c r="E727" s="4"/>
      <c r="F727" s="4"/>
      <c r="G727" s="5"/>
      <c r="H727" s="4"/>
      <c r="I727" s="4"/>
    </row>
    <row r="728" spans="5:9" x14ac:dyDescent="0.2">
      <c r="E728" s="4"/>
      <c r="F728" s="4"/>
      <c r="G728" s="5"/>
      <c r="H728" s="4"/>
      <c r="I728" s="4"/>
    </row>
    <row r="729" spans="5:9" x14ac:dyDescent="0.2">
      <c r="E729" s="4"/>
      <c r="F729" s="4"/>
      <c r="G729" s="5"/>
      <c r="H729" s="4"/>
      <c r="I729" s="4"/>
    </row>
    <row r="730" spans="5:9" x14ac:dyDescent="0.2">
      <c r="E730" s="4"/>
      <c r="F730" s="4"/>
      <c r="G730" s="5"/>
      <c r="H730" s="4"/>
      <c r="I730" s="4"/>
    </row>
    <row r="731" spans="5:9" x14ac:dyDescent="0.2">
      <c r="E731" s="4"/>
      <c r="F731" s="4"/>
      <c r="G731" s="5"/>
      <c r="H731" s="4"/>
      <c r="I731" s="4"/>
    </row>
    <row r="732" spans="5:9" x14ac:dyDescent="0.2">
      <c r="E732" s="4"/>
      <c r="F732" s="4"/>
      <c r="G732" s="5"/>
      <c r="H732" s="4"/>
      <c r="I732" s="4"/>
    </row>
    <row r="733" spans="5:9" x14ac:dyDescent="0.2">
      <c r="E733" s="4"/>
      <c r="F733" s="4"/>
      <c r="G733" s="5"/>
      <c r="H733" s="4"/>
      <c r="I733" s="4"/>
    </row>
    <row r="734" spans="5:9" x14ac:dyDescent="0.2">
      <c r="E734" s="4"/>
      <c r="F734" s="4"/>
      <c r="G734" s="5"/>
      <c r="H734" s="4"/>
      <c r="I734" s="4"/>
    </row>
    <row r="735" spans="5:9" x14ac:dyDescent="0.2">
      <c r="E735" s="4"/>
      <c r="F735" s="4"/>
      <c r="G735" s="5"/>
      <c r="H735" s="4"/>
      <c r="I735" s="4"/>
    </row>
    <row r="736" spans="5:9" x14ac:dyDescent="0.2">
      <c r="E736" s="4"/>
      <c r="F736" s="4"/>
      <c r="G736" s="5"/>
      <c r="H736" s="4"/>
      <c r="I736" s="4"/>
    </row>
    <row r="737" spans="5:9" x14ac:dyDescent="0.2">
      <c r="E737" s="4"/>
      <c r="F737" s="4"/>
      <c r="G737" s="5"/>
      <c r="H737" s="4"/>
      <c r="I737" s="4"/>
    </row>
    <row r="738" spans="5:9" x14ac:dyDescent="0.2">
      <c r="E738" s="4"/>
      <c r="F738" s="4"/>
      <c r="G738" s="5"/>
      <c r="H738" s="4"/>
      <c r="I738" s="4"/>
    </row>
    <row r="739" spans="5:9" x14ac:dyDescent="0.2">
      <c r="E739" s="4"/>
      <c r="F739" s="4"/>
      <c r="G739" s="5"/>
      <c r="H739" s="4"/>
      <c r="I739" s="4"/>
    </row>
    <row r="740" spans="5:9" x14ac:dyDescent="0.2">
      <c r="E740" s="4"/>
      <c r="F740" s="4"/>
      <c r="G740" s="5"/>
      <c r="H740" s="4"/>
      <c r="I740" s="4"/>
    </row>
    <row r="741" spans="5:9" x14ac:dyDescent="0.2">
      <c r="E741" s="4"/>
      <c r="F741" s="4"/>
      <c r="G741" s="5"/>
      <c r="H741" s="4"/>
      <c r="I741" s="4"/>
    </row>
    <row r="742" spans="5:9" x14ac:dyDescent="0.2">
      <c r="E742" s="4"/>
      <c r="F742" s="4"/>
      <c r="G742" s="5"/>
      <c r="H742" s="4"/>
      <c r="I742" s="4"/>
    </row>
    <row r="743" spans="5:9" x14ac:dyDescent="0.2">
      <c r="E743" s="4"/>
      <c r="F743" s="4"/>
      <c r="G743" s="5"/>
      <c r="H743" s="4"/>
      <c r="I743" s="4"/>
    </row>
    <row r="744" spans="5:9" x14ac:dyDescent="0.2">
      <c r="E744" s="4"/>
      <c r="F744" s="4"/>
      <c r="G744" s="5"/>
      <c r="H744" s="4"/>
      <c r="I744" s="4"/>
    </row>
    <row r="745" spans="5:9" x14ac:dyDescent="0.2">
      <c r="E745" s="4"/>
      <c r="F745" s="4"/>
      <c r="G745" s="5"/>
      <c r="H745" s="4"/>
      <c r="I745" s="4"/>
    </row>
    <row r="746" spans="5:9" x14ac:dyDescent="0.2">
      <c r="E746" s="4"/>
      <c r="F746" s="4"/>
      <c r="G746" s="5"/>
      <c r="H746" s="4"/>
      <c r="I746" s="4"/>
    </row>
    <row r="747" spans="5:9" x14ac:dyDescent="0.2">
      <c r="E747" s="4"/>
      <c r="F747" s="4"/>
      <c r="G747" s="5"/>
      <c r="H747" s="4"/>
      <c r="I747" s="4"/>
    </row>
    <row r="748" spans="5:9" x14ac:dyDescent="0.2">
      <c r="E748" s="4"/>
      <c r="F748" s="4"/>
      <c r="G748" s="5"/>
      <c r="H748" s="4"/>
      <c r="I748" s="4"/>
    </row>
    <row r="749" spans="5:9" x14ac:dyDescent="0.2">
      <c r="E749" s="4"/>
      <c r="F749" s="4"/>
      <c r="G749" s="5"/>
      <c r="H749" s="4"/>
      <c r="I749" s="4"/>
    </row>
    <row r="750" spans="5:9" x14ac:dyDescent="0.2">
      <c r="E750" s="4"/>
      <c r="F750" s="4"/>
      <c r="G750" s="5"/>
      <c r="H750" s="4"/>
      <c r="I750" s="4"/>
    </row>
    <row r="751" spans="5:9" x14ac:dyDescent="0.2">
      <c r="E751" s="4"/>
      <c r="F751" s="4"/>
      <c r="G751" s="5"/>
      <c r="H751" s="4"/>
      <c r="I751" s="4"/>
    </row>
    <row r="752" spans="5:9" x14ac:dyDescent="0.2">
      <c r="E752" s="4"/>
      <c r="F752" s="4"/>
      <c r="G752" s="5"/>
      <c r="H752" s="4"/>
      <c r="I752" s="4"/>
    </row>
    <row r="753" spans="5:9" x14ac:dyDescent="0.2">
      <c r="E753" s="4"/>
      <c r="F753" s="4"/>
      <c r="G753" s="5"/>
      <c r="H753" s="4"/>
      <c r="I753" s="4"/>
    </row>
    <row r="754" spans="5:9" x14ac:dyDescent="0.2">
      <c r="E754" s="4"/>
      <c r="F754" s="4"/>
      <c r="G754" s="5"/>
      <c r="H754" s="4"/>
      <c r="I754" s="4"/>
    </row>
    <row r="755" spans="5:9" x14ac:dyDescent="0.2">
      <c r="E755" s="4"/>
      <c r="F755" s="4"/>
      <c r="G755" s="5"/>
      <c r="H755" s="4"/>
      <c r="I755" s="4"/>
    </row>
    <row r="756" spans="5:9" x14ac:dyDescent="0.2">
      <c r="E756" s="4"/>
      <c r="F756" s="4"/>
      <c r="G756" s="5"/>
      <c r="H756" s="4"/>
      <c r="I756" s="4"/>
    </row>
    <row r="757" spans="5:9" x14ac:dyDescent="0.2">
      <c r="E757" s="4"/>
      <c r="F757" s="4"/>
      <c r="G757" s="5"/>
      <c r="H757" s="4"/>
      <c r="I757" s="4"/>
    </row>
    <row r="758" spans="5:9" x14ac:dyDescent="0.2">
      <c r="E758" s="4"/>
      <c r="F758" s="4"/>
      <c r="G758" s="5"/>
      <c r="H758" s="4"/>
      <c r="I758" s="4"/>
    </row>
    <row r="759" spans="5:9" x14ac:dyDescent="0.2">
      <c r="E759" s="4"/>
      <c r="F759" s="4"/>
      <c r="G759" s="5"/>
      <c r="H759" s="4"/>
      <c r="I759" s="4"/>
    </row>
    <row r="760" spans="5:9" x14ac:dyDescent="0.2">
      <c r="E760" s="4"/>
      <c r="F760" s="4"/>
      <c r="G760" s="5"/>
      <c r="H760" s="4"/>
      <c r="I760" s="4"/>
    </row>
    <row r="761" spans="5:9" x14ac:dyDescent="0.2">
      <c r="E761" s="4"/>
      <c r="F761" s="4"/>
      <c r="G761" s="5"/>
      <c r="H761" s="4"/>
      <c r="I761" s="4"/>
    </row>
    <row r="762" spans="5:9" x14ac:dyDescent="0.2">
      <c r="E762" s="4"/>
      <c r="F762" s="4"/>
      <c r="G762" s="5"/>
      <c r="H762" s="4"/>
      <c r="I762" s="4"/>
    </row>
    <row r="763" spans="5:9" x14ac:dyDescent="0.2">
      <c r="E763" s="4"/>
      <c r="F763" s="4"/>
      <c r="G763" s="5"/>
      <c r="H763" s="4"/>
      <c r="I763" s="4"/>
    </row>
    <row r="764" spans="5:9" x14ac:dyDescent="0.2">
      <c r="E764" s="4"/>
      <c r="F764" s="4"/>
      <c r="G764" s="5"/>
      <c r="H764" s="4"/>
      <c r="I764" s="4"/>
    </row>
    <row r="765" spans="5:9" x14ac:dyDescent="0.2">
      <c r="E765" s="4"/>
      <c r="F765" s="4"/>
      <c r="G765" s="5"/>
      <c r="H765" s="4"/>
      <c r="I765" s="4"/>
    </row>
    <row r="766" spans="5:9" x14ac:dyDescent="0.2">
      <c r="E766" s="4"/>
      <c r="F766" s="4"/>
      <c r="G766" s="5"/>
      <c r="H766" s="4"/>
      <c r="I766" s="4"/>
    </row>
    <row r="767" spans="5:9" x14ac:dyDescent="0.2">
      <c r="E767" s="4"/>
      <c r="F767" s="4"/>
      <c r="G767" s="5"/>
      <c r="H767" s="4"/>
      <c r="I767" s="4"/>
    </row>
    <row r="768" spans="5:9" x14ac:dyDescent="0.2">
      <c r="E768" s="4"/>
      <c r="F768" s="4"/>
      <c r="G768" s="5"/>
      <c r="H768" s="4"/>
      <c r="I768" s="4"/>
    </row>
    <row r="769" spans="5:9" x14ac:dyDescent="0.2">
      <c r="E769" s="4"/>
      <c r="F769" s="4"/>
      <c r="G769" s="5"/>
      <c r="H769" s="4"/>
      <c r="I769" s="4"/>
    </row>
    <row r="770" spans="5:9" x14ac:dyDescent="0.2">
      <c r="E770" s="4"/>
      <c r="F770" s="4"/>
      <c r="G770" s="5"/>
      <c r="H770" s="4"/>
      <c r="I770" s="4"/>
    </row>
    <row r="771" spans="5:9" x14ac:dyDescent="0.2">
      <c r="E771" s="4"/>
      <c r="F771" s="4"/>
      <c r="G771" s="5"/>
      <c r="H771" s="4"/>
      <c r="I771" s="4"/>
    </row>
    <row r="772" spans="5:9" x14ac:dyDescent="0.2">
      <c r="E772" s="4"/>
      <c r="F772" s="4"/>
      <c r="G772" s="5"/>
      <c r="H772" s="4"/>
      <c r="I772" s="4"/>
    </row>
    <row r="773" spans="5:9" x14ac:dyDescent="0.2">
      <c r="E773" s="4"/>
      <c r="F773" s="4"/>
      <c r="G773" s="5"/>
      <c r="H773" s="4"/>
      <c r="I773" s="4"/>
    </row>
    <row r="774" spans="5:9" x14ac:dyDescent="0.2">
      <c r="E774" s="4"/>
      <c r="F774" s="4"/>
      <c r="G774" s="5"/>
      <c r="H774" s="4"/>
      <c r="I774" s="4"/>
    </row>
    <row r="775" spans="5:9" x14ac:dyDescent="0.2">
      <c r="E775" s="4"/>
      <c r="F775" s="4"/>
      <c r="G775" s="5"/>
      <c r="H775" s="4"/>
      <c r="I775" s="4"/>
    </row>
    <row r="776" spans="5:9" x14ac:dyDescent="0.2">
      <c r="E776" s="4"/>
      <c r="F776" s="4"/>
      <c r="G776" s="5"/>
      <c r="H776" s="4"/>
      <c r="I776" s="4"/>
    </row>
    <row r="777" spans="5:9" x14ac:dyDescent="0.2">
      <c r="E777" s="4"/>
      <c r="F777" s="4"/>
      <c r="G777" s="5"/>
      <c r="H777" s="4"/>
      <c r="I777" s="4"/>
    </row>
    <row r="778" spans="5:9" x14ac:dyDescent="0.2">
      <c r="E778" s="4"/>
      <c r="F778" s="4"/>
      <c r="G778" s="5"/>
      <c r="H778" s="4"/>
      <c r="I778" s="4"/>
    </row>
    <row r="779" spans="5:9" x14ac:dyDescent="0.2">
      <c r="E779" s="4"/>
      <c r="F779" s="4"/>
      <c r="G779" s="5"/>
      <c r="H779" s="4"/>
      <c r="I779" s="4"/>
    </row>
    <row r="780" spans="5:9" x14ac:dyDescent="0.2">
      <c r="E780" s="4"/>
      <c r="F780" s="4"/>
      <c r="G780" s="5"/>
      <c r="H780" s="4"/>
      <c r="I780" s="4"/>
    </row>
    <row r="781" spans="5:9" x14ac:dyDescent="0.2">
      <c r="E781" s="4"/>
      <c r="F781" s="4"/>
      <c r="G781" s="5"/>
      <c r="H781" s="4"/>
      <c r="I781" s="4"/>
    </row>
    <row r="782" spans="5:9" x14ac:dyDescent="0.2">
      <c r="E782" s="4"/>
      <c r="F782" s="4"/>
      <c r="G782" s="5"/>
      <c r="H782" s="4"/>
      <c r="I782" s="4"/>
    </row>
    <row r="783" spans="5:9" x14ac:dyDescent="0.2">
      <c r="E783" s="4"/>
      <c r="F783" s="4"/>
      <c r="G783" s="5"/>
      <c r="H783" s="4"/>
      <c r="I783" s="4"/>
    </row>
    <row r="784" spans="5:9" x14ac:dyDescent="0.2">
      <c r="E784" s="4"/>
      <c r="F784" s="4"/>
      <c r="G784" s="5"/>
      <c r="H784" s="4"/>
      <c r="I784" s="4"/>
    </row>
    <row r="785" spans="5:9" x14ac:dyDescent="0.2">
      <c r="E785" s="4"/>
      <c r="F785" s="4"/>
      <c r="G785" s="5"/>
      <c r="H785" s="4"/>
      <c r="I785" s="4"/>
    </row>
    <row r="786" spans="5:9" x14ac:dyDescent="0.2">
      <c r="E786" s="4"/>
      <c r="F786" s="4"/>
      <c r="G786" s="5"/>
      <c r="H786" s="4"/>
      <c r="I786" s="4"/>
    </row>
    <row r="787" spans="5:9" x14ac:dyDescent="0.2">
      <c r="E787" s="4"/>
      <c r="F787" s="4"/>
      <c r="G787" s="5"/>
      <c r="H787" s="4"/>
      <c r="I787" s="4"/>
    </row>
    <row r="788" spans="5:9" x14ac:dyDescent="0.2">
      <c r="E788" s="4"/>
      <c r="F788" s="4"/>
      <c r="G788" s="5"/>
      <c r="H788" s="4"/>
      <c r="I788" s="4"/>
    </row>
    <row r="789" spans="5:9" x14ac:dyDescent="0.2">
      <c r="E789" s="4"/>
      <c r="F789" s="4"/>
      <c r="G789" s="5"/>
      <c r="H789" s="4"/>
      <c r="I789" s="4"/>
    </row>
    <row r="790" spans="5:9" x14ac:dyDescent="0.2">
      <c r="E790" s="4"/>
      <c r="F790" s="4"/>
      <c r="G790" s="5"/>
      <c r="H790" s="4"/>
      <c r="I790" s="4"/>
    </row>
    <row r="791" spans="5:9" x14ac:dyDescent="0.2">
      <c r="E791" s="4"/>
      <c r="F791" s="4"/>
      <c r="G791" s="5"/>
      <c r="H791" s="4"/>
      <c r="I791" s="4"/>
    </row>
    <row r="792" spans="5:9" x14ac:dyDescent="0.2">
      <c r="E792" s="4"/>
      <c r="F792" s="4"/>
      <c r="G792" s="5"/>
      <c r="H792" s="4"/>
      <c r="I792" s="4"/>
    </row>
    <row r="793" spans="5:9" x14ac:dyDescent="0.2">
      <c r="E793" s="4"/>
      <c r="F793" s="4"/>
      <c r="G793" s="5"/>
      <c r="H793" s="4"/>
      <c r="I793" s="4"/>
    </row>
    <row r="794" spans="5:9" x14ac:dyDescent="0.2">
      <c r="E794" s="4"/>
      <c r="F794" s="4"/>
      <c r="G794" s="5"/>
      <c r="H794" s="4"/>
      <c r="I794" s="4"/>
    </row>
    <row r="795" spans="5:9" x14ac:dyDescent="0.2">
      <c r="E795" s="4"/>
      <c r="F795" s="4"/>
      <c r="G795" s="5"/>
      <c r="H795" s="4"/>
      <c r="I795" s="4"/>
    </row>
    <row r="796" spans="5:9" x14ac:dyDescent="0.2">
      <c r="E796" s="4"/>
      <c r="F796" s="4"/>
      <c r="G796" s="5"/>
      <c r="H796" s="4"/>
      <c r="I796" s="4"/>
    </row>
    <row r="797" spans="5:9" x14ac:dyDescent="0.2">
      <c r="E797" s="4"/>
      <c r="F797" s="4"/>
      <c r="G797" s="5"/>
      <c r="H797" s="4"/>
      <c r="I797" s="4"/>
    </row>
    <row r="798" spans="5:9" x14ac:dyDescent="0.2">
      <c r="E798" s="4"/>
      <c r="F798" s="4"/>
      <c r="G798" s="5"/>
      <c r="H798" s="4"/>
      <c r="I798" s="4"/>
    </row>
    <row r="799" spans="5:9" x14ac:dyDescent="0.2">
      <c r="E799" s="4"/>
      <c r="F799" s="4"/>
      <c r="G799" s="5"/>
      <c r="H799" s="4"/>
      <c r="I799" s="4"/>
    </row>
    <row r="800" spans="5:9" x14ac:dyDescent="0.2">
      <c r="E800" s="4"/>
      <c r="F800" s="4"/>
      <c r="G800" s="5"/>
      <c r="H800" s="4"/>
      <c r="I800" s="4"/>
    </row>
    <row r="801" spans="5:9" x14ac:dyDescent="0.2">
      <c r="E801" s="4"/>
      <c r="F801" s="4"/>
      <c r="G801" s="5"/>
      <c r="H801" s="4"/>
      <c r="I801" s="4"/>
    </row>
    <row r="802" spans="5:9" x14ac:dyDescent="0.2">
      <c r="E802" s="4"/>
      <c r="F802" s="4"/>
      <c r="G802" s="5"/>
      <c r="H802" s="4"/>
      <c r="I802" s="4"/>
    </row>
    <row r="803" spans="5:9" x14ac:dyDescent="0.2">
      <c r="E803" s="4"/>
      <c r="F803" s="4"/>
      <c r="G803" s="5"/>
      <c r="H803" s="4"/>
      <c r="I803" s="4"/>
    </row>
    <row r="804" spans="5:9" x14ac:dyDescent="0.2">
      <c r="E804" s="4"/>
      <c r="F804" s="4"/>
      <c r="G804" s="5"/>
      <c r="H804" s="4"/>
      <c r="I804" s="4"/>
    </row>
    <row r="805" spans="5:9" x14ac:dyDescent="0.2">
      <c r="E805" s="4"/>
      <c r="F805" s="4"/>
      <c r="G805" s="5"/>
      <c r="H805" s="4"/>
      <c r="I805" s="4"/>
    </row>
    <row r="806" spans="5:9" x14ac:dyDescent="0.2">
      <c r="E806" s="4"/>
      <c r="F806" s="4"/>
      <c r="G806" s="5"/>
      <c r="H806" s="4"/>
      <c r="I806" s="4"/>
    </row>
    <row r="807" spans="5:9" x14ac:dyDescent="0.2">
      <c r="E807" s="4"/>
      <c r="F807" s="4"/>
      <c r="G807" s="5"/>
      <c r="H807" s="4"/>
      <c r="I807" s="4"/>
    </row>
    <row r="808" spans="5:9" x14ac:dyDescent="0.2">
      <c r="E808" s="4"/>
      <c r="F808" s="4"/>
      <c r="G808" s="5"/>
      <c r="H808" s="4"/>
      <c r="I808" s="4"/>
    </row>
    <row r="809" spans="5:9" x14ac:dyDescent="0.2">
      <c r="E809" s="4"/>
      <c r="F809" s="4"/>
      <c r="G809" s="5"/>
      <c r="H809" s="4"/>
      <c r="I809" s="4"/>
    </row>
    <row r="810" spans="5:9" x14ac:dyDescent="0.2">
      <c r="E810" s="4"/>
      <c r="F810" s="4"/>
      <c r="G810" s="5"/>
      <c r="H810" s="4"/>
      <c r="I810" s="4"/>
    </row>
    <row r="811" spans="5:9" x14ac:dyDescent="0.2">
      <c r="E811" s="4"/>
      <c r="F811" s="4"/>
      <c r="G811" s="5"/>
      <c r="H811" s="4"/>
      <c r="I811" s="4"/>
    </row>
    <row r="812" spans="5:9" x14ac:dyDescent="0.2">
      <c r="E812" s="4"/>
      <c r="F812" s="4"/>
      <c r="G812" s="5"/>
      <c r="H812" s="4"/>
      <c r="I812" s="4"/>
    </row>
    <row r="813" spans="5:9" x14ac:dyDescent="0.2">
      <c r="E813" s="4"/>
      <c r="F813" s="4"/>
      <c r="G813" s="5"/>
      <c r="H813" s="4"/>
      <c r="I813" s="4"/>
    </row>
    <row r="814" spans="5:9" x14ac:dyDescent="0.2">
      <c r="E814" s="4"/>
      <c r="F814" s="4"/>
      <c r="G814" s="5"/>
      <c r="H814" s="4"/>
      <c r="I814" s="4"/>
    </row>
    <row r="815" spans="5:9" x14ac:dyDescent="0.2">
      <c r="E815" s="4"/>
      <c r="F815" s="4"/>
      <c r="G815" s="5"/>
      <c r="H815" s="4"/>
      <c r="I815" s="4"/>
    </row>
    <row r="816" spans="5:9" x14ac:dyDescent="0.2">
      <c r="E816" s="4"/>
      <c r="F816" s="4"/>
      <c r="G816" s="5"/>
      <c r="H816" s="4"/>
      <c r="I816" s="4"/>
    </row>
    <row r="817" spans="5:9" x14ac:dyDescent="0.2">
      <c r="E817" s="4"/>
      <c r="F817" s="4"/>
      <c r="G817" s="5"/>
      <c r="H817" s="4"/>
      <c r="I817" s="4"/>
    </row>
    <row r="818" spans="5:9" x14ac:dyDescent="0.2">
      <c r="E818" s="4"/>
      <c r="F818" s="4"/>
      <c r="G818" s="5"/>
      <c r="H818" s="4"/>
      <c r="I818" s="4"/>
    </row>
    <row r="819" spans="5:9" x14ac:dyDescent="0.2">
      <c r="E819" s="4"/>
      <c r="F819" s="4"/>
      <c r="G819" s="5"/>
      <c r="H819" s="4"/>
      <c r="I819" s="4"/>
    </row>
    <row r="820" spans="5:9" x14ac:dyDescent="0.2">
      <c r="E820" s="4"/>
      <c r="F820" s="4"/>
      <c r="G820" s="5"/>
      <c r="H820" s="4"/>
      <c r="I820" s="4"/>
    </row>
    <row r="821" spans="5:9" x14ac:dyDescent="0.2">
      <c r="E821" s="4"/>
      <c r="F821" s="4"/>
      <c r="G821" s="5"/>
      <c r="H821" s="4"/>
      <c r="I821" s="4"/>
    </row>
    <row r="822" spans="5:9" x14ac:dyDescent="0.2">
      <c r="E822" s="4"/>
      <c r="F822" s="4"/>
      <c r="G822" s="5"/>
      <c r="H822" s="4"/>
      <c r="I822" s="4"/>
    </row>
    <row r="823" spans="5:9" x14ac:dyDescent="0.2">
      <c r="E823" s="4"/>
      <c r="F823" s="4"/>
      <c r="G823" s="5"/>
      <c r="H823" s="4"/>
      <c r="I823" s="4"/>
    </row>
    <row r="824" spans="5:9" x14ac:dyDescent="0.2">
      <c r="E824" s="4"/>
      <c r="F824" s="4"/>
      <c r="G824" s="5"/>
      <c r="H824" s="4"/>
      <c r="I824" s="4"/>
    </row>
    <row r="825" spans="5:9" x14ac:dyDescent="0.2">
      <c r="E825" s="4"/>
      <c r="F825" s="4"/>
      <c r="G825" s="5"/>
      <c r="H825" s="4"/>
      <c r="I825" s="4"/>
    </row>
    <row r="826" spans="5:9" x14ac:dyDescent="0.2">
      <c r="E826" s="4"/>
      <c r="F826" s="4"/>
      <c r="G826" s="5"/>
      <c r="H826" s="4"/>
      <c r="I826" s="4"/>
    </row>
    <row r="827" spans="5:9" x14ac:dyDescent="0.2">
      <c r="E827" s="4"/>
      <c r="F827" s="4"/>
      <c r="G827" s="5"/>
      <c r="H827" s="4"/>
      <c r="I827" s="4"/>
    </row>
    <row r="828" spans="5:9" x14ac:dyDescent="0.2">
      <c r="E828" s="4"/>
      <c r="F828" s="4"/>
      <c r="G828" s="5"/>
      <c r="H828" s="4"/>
      <c r="I828" s="4"/>
    </row>
    <row r="829" spans="5:9" x14ac:dyDescent="0.2">
      <c r="E829" s="4"/>
      <c r="F829" s="4"/>
      <c r="G829" s="5"/>
      <c r="H829" s="4"/>
      <c r="I829" s="4"/>
    </row>
    <row r="830" spans="5:9" x14ac:dyDescent="0.2">
      <c r="E830" s="4"/>
      <c r="F830" s="4"/>
      <c r="G830" s="5"/>
      <c r="H830" s="4"/>
      <c r="I830" s="4"/>
    </row>
    <row r="831" spans="5:9" x14ac:dyDescent="0.2">
      <c r="E831" s="4"/>
      <c r="F831" s="4"/>
      <c r="G831" s="5"/>
      <c r="H831" s="4"/>
      <c r="I831" s="4"/>
    </row>
    <row r="832" spans="5:9" x14ac:dyDescent="0.2">
      <c r="E832" s="4"/>
      <c r="F832" s="4"/>
      <c r="G832" s="5"/>
      <c r="H832" s="4"/>
      <c r="I832" s="4"/>
    </row>
    <row r="833" spans="5:9" x14ac:dyDescent="0.2">
      <c r="E833" s="4"/>
      <c r="F833" s="4"/>
      <c r="G833" s="5"/>
      <c r="H833" s="4"/>
      <c r="I833" s="4"/>
    </row>
    <row r="834" spans="5:9" x14ac:dyDescent="0.2">
      <c r="E834" s="4"/>
      <c r="F834" s="4"/>
      <c r="G834" s="5"/>
      <c r="H834" s="4"/>
      <c r="I834" s="4"/>
    </row>
    <row r="835" spans="5:9" x14ac:dyDescent="0.2">
      <c r="E835" s="4"/>
      <c r="F835" s="4"/>
      <c r="G835" s="5"/>
      <c r="H835" s="4"/>
      <c r="I835" s="4"/>
    </row>
    <row r="836" spans="5:9" x14ac:dyDescent="0.2">
      <c r="E836" s="4"/>
      <c r="F836" s="4"/>
      <c r="G836" s="5"/>
      <c r="H836" s="4"/>
      <c r="I836" s="4"/>
    </row>
    <row r="837" spans="5:9" x14ac:dyDescent="0.2">
      <c r="E837" s="4"/>
      <c r="F837" s="4"/>
      <c r="G837" s="5"/>
      <c r="H837" s="4"/>
      <c r="I837" s="4"/>
    </row>
    <row r="838" spans="5:9" x14ac:dyDescent="0.2">
      <c r="E838" s="4"/>
      <c r="F838" s="4"/>
      <c r="G838" s="5"/>
      <c r="H838" s="4"/>
      <c r="I838" s="4"/>
    </row>
    <row r="839" spans="5:9" x14ac:dyDescent="0.2">
      <c r="E839" s="4"/>
      <c r="F839" s="4"/>
      <c r="G839" s="5"/>
      <c r="H839" s="4"/>
      <c r="I839" s="4"/>
    </row>
    <row r="840" spans="5:9" x14ac:dyDescent="0.2">
      <c r="E840" s="4"/>
      <c r="F840" s="4"/>
      <c r="G840" s="5"/>
      <c r="H840" s="4"/>
      <c r="I840" s="4"/>
    </row>
    <row r="841" spans="5:9" x14ac:dyDescent="0.2">
      <c r="E841" s="4"/>
      <c r="F841" s="4"/>
      <c r="G841" s="5"/>
      <c r="H841" s="4"/>
      <c r="I841" s="4"/>
    </row>
    <row r="842" spans="5:9" x14ac:dyDescent="0.2">
      <c r="E842" s="4"/>
      <c r="F842" s="4"/>
      <c r="G842" s="5"/>
      <c r="H842" s="4"/>
      <c r="I842" s="4"/>
    </row>
    <row r="843" spans="5:9" x14ac:dyDescent="0.2">
      <c r="E843" s="4"/>
      <c r="F843" s="4"/>
      <c r="G843" s="5"/>
      <c r="H843" s="4"/>
      <c r="I843" s="4"/>
    </row>
    <row r="844" spans="5:9" x14ac:dyDescent="0.2">
      <c r="E844" s="4"/>
      <c r="F844" s="4"/>
      <c r="G844" s="5"/>
      <c r="H844" s="4"/>
      <c r="I844" s="4"/>
    </row>
    <row r="845" spans="5:9" x14ac:dyDescent="0.2">
      <c r="E845" s="4"/>
      <c r="F845" s="4"/>
      <c r="G845" s="5"/>
      <c r="H845" s="4"/>
      <c r="I845" s="4"/>
    </row>
    <row r="846" spans="5:9" x14ac:dyDescent="0.2">
      <c r="E846" s="4"/>
      <c r="F846" s="4"/>
      <c r="G846" s="5"/>
      <c r="H846" s="4"/>
      <c r="I846" s="4"/>
    </row>
    <row r="847" spans="5:9" x14ac:dyDescent="0.2">
      <c r="E847" s="4"/>
      <c r="F847" s="4"/>
      <c r="G847" s="5"/>
      <c r="H847" s="4"/>
      <c r="I847" s="4"/>
    </row>
    <row r="848" spans="5:9" x14ac:dyDescent="0.2">
      <c r="E848" s="4"/>
      <c r="F848" s="4"/>
      <c r="G848" s="5"/>
      <c r="H848" s="4"/>
      <c r="I848" s="4"/>
    </row>
    <row r="849" spans="5:9" x14ac:dyDescent="0.2">
      <c r="E849" s="4"/>
      <c r="F849" s="4"/>
      <c r="G849" s="5"/>
      <c r="H849" s="4"/>
      <c r="I849" s="4"/>
    </row>
    <row r="850" spans="5:9" x14ac:dyDescent="0.2">
      <c r="E850" s="4"/>
      <c r="F850" s="4"/>
      <c r="G850" s="5"/>
      <c r="H850" s="4"/>
      <c r="I850" s="4"/>
    </row>
    <row r="851" spans="5:9" x14ac:dyDescent="0.2">
      <c r="E851" s="4"/>
      <c r="F851" s="4"/>
      <c r="G851" s="5"/>
      <c r="H851" s="4"/>
      <c r="I851" s="4"/>
    </row>
    <row r="852" spans="5:9" x14ac:dyDescent="0.2">
      <c r="E852" s="4"/>
      <c r="F852" s="4"/>
      <c r="G852" s="5"/>
      <c r="H852" s="4"/>
      <c r="I852" s="4"/>
    </row>
    <row r="853" spans="5:9" x14ac:dyDescent="0.2">
      <c r="E853" s="4"/>
      <c r="F853" s="4"/>
      <c r="G853" s="5"/>
      <c r="H853" s="4"/>
      <c r="I853" s="4"/>
    </row>
    <row r="854" spans="5:9" x14ac:dyDescent="0.2">
      <c r="E854" s="4"/>
      <c r="F854" s="4"/>
      <c r="G854" s="5"/>
      <c r="H854" s="4"/>
      <c r="I854" s="4"/>
    </row>
    <row r="855" spans="5:9" x14ac:dyDescent="0.2">
      <c r="E855" s="4"/>
      <c r="F855" s="4"/>
      <c r="G855" s="5"/>
      <c r="H855" s="4"/>
      <c r="I855" s="4"/>
    </row>
    <row r="856" spans="5:9" x14ac:dyDescent="0.2">
      <c r="E856" s="4"/>
      <c r="F856" s="4"/>
      <c r="G856" s="5"/>
      <c r="H856" s="4"/>
      <c r="I856" s="4"/>
    </row>
    <row r="857" spans="5:9" x14ac:dyDescent="0.2">
      <c r="E857" s="4"/>
      <c r="F857" s="4"/>
      <c r="G857" s="5"/>
      <c r="H857" s="4"/>
      <c r="I857" s="4"/>
    </row>
    <row r="858" spans="5:9" x14ac:dyDescent="0.2">
      <c r="E858" s="4"/>
      <c r="F858" s="4"/>
      <c r="G858" s="5"/>
      <c r="H858" s="4"/>
      <c r="I858" s="4"/>
    </row>
    <row r="859" spans="5:9" x14ac:dyDescent="0.2">
      <c r="E859" s="4"/>
      <c r="F859" s="4"/>
      <c r="G859" s="5"/>
      <c r="H859" s="4"/>
      <c r="I859" s="4"/>
    </row>
    <row r="860" spans="5:9" x14ac:dyDescent="0.2">
      <c r="E860" s="4"/>
      <c r="F860" s="4"/>
      <c r="G860" s="5"/>
      <c r="H860" s="4"/>
      <c r="I860" s="4"/>
    </row>
    <row r="861" spans="5:9" x14ac:dyDescent="0.2">
      <c r="E861" s="4"/>
      <c r="F861" s="4"/>
      <c r="G861" s="5"/>
      <c r="H861" s="4"/>
      <c r="I861" s="4"/>
    </row>
    <row r="862" spans="5:9" x14ac:dyDescent="0.2">
      <c r="E862" s="4"/>
      <c r="F862" s="4"/>
      <c r="G862" s="5"/>
      <c r="H862" s="4"/>
      <c r="I862" s="4"/>
    </row>
    <row r="863" spans="5:9" x14ac:dyDescent="0.2">
      <c r="E863" s="4"/>
      <c r="F863" s="4"/>
      <c r="G863" s="5"/>
      <c r="H863" s="4"/>
      <c r="I863" s="4"/>
    </row>
    <row r="864" spans="5:9" x14ac:dyDescent="0.2">
      <c r="E864" s="4"/>
      <c r="F864" s="4"/>
      <c r="G864" s="5"/>
      <c r="H864" s="4"/>
      <c r="I864" s="4"/>
    </row>
    <row r="865" spans="5:9" x14ac:dyDescent="0.2">
      <c r="E865" s="4"/>
      <c r="F865" s="4"/>
      <c r="G865" s="5"/>
      <c r="H865" s="4"/>
      <c r="I865" s="4"/>
    </row>
    <row r="866" spans="5:9" x14ac:dyDescent="0.2">
      <c r="E866" s="4"/>
      <c r="F866" s="4"/>
      <c r="G866" s="5"/>
      <c r="H866" s="4"/>
      <c r="I866" s="4"/>
    </row>
    <row r="867" spans="5:9" x14ac:dyDescent="0.2">
      <c r="E867" s="4"/>
      <c r="F867" s="4"/>
      <c r="G867" s="5"/>
      <c r="H867" s="4"/>
      <c r="I867" s="4"/>
    </row>
    <row r="868" spans="5:9" x14ac:dyDescent="0.2">
      <c r="E868" s="4"/>
      <c r="F868" s="4"/>
      <c r="G868" s="5"/>
      <c r="H868" s="4"/>
      <c r="I868" s="4"/>
    </row>
    <row r="869" spans="5:9" x14ac:dyDescent="0.2">
      <c r="E869" s="4"/>
      <c r="F869" s="4"/>
      <c r="G869" s="5"/>
      <c r="H869" s="4"/>
      <c r="I869" s="4"/>
    </row>
    <row r="870" spans="5:9" x14ac:dyDescent="0.2">
      <c r="E870" s="4"/>
      <c r="F870" s="4"/>
      <c r="G870" s="5"/>
      <c r="H870" s="4"/>
      <c r="I870" s="4"/>
    </row>
    <row r="871" spans="5:9" x14ac:dyDescent="0.2">
      <c r="E871" s="4"/>
      <c r="F871" s="4"/>
      <c r="G871" s="5"/>
      <c r="H871" s="4"/>
      <c r="I871" s="4"/>
    </row>
    <row r="872" spans="5:9" x14ac:dyDescent="0.2">
      <c r="E872" s="4"/>
      <c r="F872" s="4"/>
      <c r="G872" s="5"/>
      <c r="H872" s="4"/>
      <c r="I872" s="4"/>
    </row>
    <row r="873" spans="5:9" x14ac:dyDescent="0.2">
      <c r="E873" s="4"/>
      <c r="F873" s="4"/>
      <c r="G873" s="5"/>
      <c r="H873" s="4"/>
      <c r="I873" s="4"/>
    </row>
    <row r="874" spans="5:9" x14ac:dyDescent="0.2">
      <c r="E874" s="4"/>
      <c r="F874" s="4"/>
      <c r="G874" s="5"/>
      <c r="H874" s="4"/>
      <c r="I874" s="4"/>
    </row>
    <row r="875" spans="5:9" x14ac:dyDescent="0.2">
      <c r="E875" s="4"/>
      <c r="F875" s="4"/>
      <c r="G875" s="5"/>
      <c r="H875" s="4"/>
      <c r="I875" s="4"/>
    </row>
    <row r="876" spans="5:9" x14ac:dyDescent="0.2">
      <c r="E876" s="4"/>
      <c r="F876" s="4"/>
      <c r="G876" s="5"/>
      <c r="H876" s="4"/>
      <c r="I876" s="4"/>
    </row>
    <row r="877" spans="5:9" x14ac:dyDescent="0.2">
      <c r="E877" s="4"/>
      <c r="F877" s="4"/>
      <c r="G877" s="5"/>
      <c r="H877" s="4"/>
      <c r="I877" s="4"/>
    </row>
    <row r="878" spans="5:9" x14ac:dyDescent="0.2">
      <c r="E878" s="4"/>
      <c r="F878" s="4"/>
      <c r="G878" s="5"/>
      <c r="H878" s="4"/>
      <c r="I878" s="4"/>
    </row>
    <row r="879" spans="5:9" x14ac:dyDescent="0.2">
      <c r="E879" s="4"/>
      <c r="F879" s="4"/>
      <c r="G879" s="5"/>
      <c r="H879" s="4"/>
      <c r="I879" s="4"/>
    </row>
    <row r="880" spans="5:9" x14ac:dyDescent="0.2">
      <c r="E880" s="4"/>
      <c r="F880" s="4"/>
      <c r="G880" s="5"/>
      <c r="H880" s="4"/>
      <c r="I880" s="4"/>
    </row>
    <row r="881" spans="5:9" x14ac:dyDescent="0.2">
      <c r="E881" s="4"/>
      <c r="F881" s="4"/>
      <c r="G881" s="5"/>
      <c r="H881" s="4"/>
      <c r="I881" s="4"/>
    </row>
    <row r="882" spans="5:9" x14ac:dyDescent="0.2">
      <c r="E882" s="4"/>
      <c r="F882" s="4"/>
      <c r="G882" s="5"/>
      <c r="H882" s="4"/>
      <c r="I882" s="4"/>
    </row>
    <row r="883" spans="5:9" x14ac:dyDescent="0.2">
      <c r="E883" s="4"/>
      <c r="F883" s="4"/>
      <c r="G883" s="5"/>
      <c r="H883" s="4"/>
      <c r="I883" s="4"/>
    </row>
    <row r="884" spans="5:9" x14ac:dyDescent="0.2">
      <c r="E884" s="4"/>
      <c r="F884" s="4"/>
      <c r="G884" s="5"/>
      <c r="H884" s="4"/>
      <c r="I884" s="4"/>
    </row>
    <row r="885" spans="5:9" x14ac:dyDescent="0.2">
      <c r="E885" s="4"/>
      <c r="F885" s="4"/>
      <c r="G885" s="5"/>
      <c r="H885" s="4"/>
      <c r="I885" s="4"/>
    </row>
    <row r="886" spans="5:9" x14ac:dyDescent="0.2">
      <c r="E886" s="4"/>
      <c r="F886" s="4"/>
      <c r="G886" s="5"/>
      <c r="H886" s="4"/>
      <c r="I886" s="4"/>
    </row>
    <row r="887" spans="5:9" x14ac:dyDescent="0.2">
      <c r="E887" s="4"/>
      <c r="F887" s="4"/>
      <c r="G887" s="5"/>
      <c r="H887" s="4"/>
      <c r="I887" s="4"/>
    </row>
    <row r="888" spans="5:9" x14ac:dyDescent="0.2">
      <c r="E888" s="4"/>
      <c r="F888" s="4"/>
      <c r="G888" s="5"/>
      <c r="H888" s="4"/>
      <c r="I888" s="4"/>
    </row>
    <row r="889" spans="5:9" x14ac:dyDescent="0.2">
      <c r="E889" s="4"/>
      <c r="F889" s="4"/>
      <c r="G889" s="5"/>
      <c r="H889" s="4"/>
      <c r="I889" s="4"/>
    </row>
    <row r="890" spans="5:9" x14ac:dyDescent="0.2">
      <c r="E890" s="4"/>
      <c r="F890" s="4"/>
      <c r="G890" s="5"/>
      <c r="H890" s="4"/>
      <c r="I890" s="4"/>
    </row>
    <row r="891" spans="5:9" x14ac:dyDescent="0.2">
      <c r="E891" s="4"/>
      <c r="F891" s="4"/>
      <c r="G891" s="5"/>
      <c r="H891" s="4"/>
      <c r="I891" s="4"/>
    </row>
    <row r="892" spans="5:9" x14ac:dyDescent="0.2">
      <c r="E892" s="4"/>
      <c r="F892" s="4"/>
      <c r="G892" s="5"/>
      <c r="H892" s="4"/>
      <c r="I892" s="4"/>
    </row>
    <row r="893" spans="5:9" x14ac:dyDescent="0.2">
      <c r="E893" s="4"/>
      <c r="F893" s="4"/>
      <c r="G893" s="5"/>
      <c r="H893" s="4"/>
      <c r="I893" s="4"/>
    </row>
    <row r="894" spans="5:9" x14ac:dyDescent="0.2">
      <c r="E894" s="4"/>
      <c r="F894" s="4"/>
      <c r="G894" s="5"/>
      <c r="H894" s="4"/>
      <c r="I894" s="4"/>
    </row>
    <row r="895" spans="5:9" x14ac:dyDescent="0.2">
      <c r="E895" s="4"/>
      <c r="F895" s="4"/>
      <c r="G895" s="5"/>
      <c r="H895" s="4"/>
      <c r="I895" s="4"/>
    </row>
    <row r="896" spans="5:9" x14ac:dyDescent="0.2">
      <c r="E896" s="4"/>
      <c r="F896" s="4"/>
      <c r="G896" s="5"/>
      <c r="H896" s="4"/>
      <c r="I896" s="4"/>
    </row>
    <row r="897" spans="5:9" x14ac:dyDescent="0.2">
      <c r="E897" s="4"/>
      <c r="F897" s="4"/>
      <c r="G897" s="5"/>
      <c r="H897" s="4"/>
      <c r="I897" s="4"/>
    </row>
    <row r="898" spans="5:9" x14ac:dyDescent="0.2">
      <c r="E898" s="4"/>
      <c r="F898" s="4"/>
      <c r="G898" s="5"/>
      <c r="H898" s="4"/>
      <c r="I898" s="4"/>
    </row>
    <row r="899" spans="5:9" x14ac:dyDescent="0.2">
      <c r="E899" s="4"/>
      <c r="F899" s="4"/>
      <c r="G899" s="5"/>
      <c r="H899" s="4"/>
      <c r="I899" s="4"/>
    </row>
    <row r="900" spans="5:9" x14ac:dyDescent="0.2">
      <c r="E900" s="4"/>
      <c r="F900" s="4"/>
      <c r="G900" s="5"/>
      <c r="H900" s="4"/>
      <c r="I900" s="4"/>
    </row>
    <row r="901" spans="5:9" x14ac:dyDescent="0.2">
      <c r="E901" s="4"/>
      <c r="F901" s="4"/>
      <c r="G901" s="5"/>
      <c r="H901" s="4"/>
      <c r="I901" s="4"/>
    </row>
    <row r="902" spans="5:9" x14ac:dyDescent="0.2">
      <c r="E902" s="4"/>
      <c r="F902" s="4"/>
      <c r="G902" s="5"/>
      <c r="H902" s="4"/>
      <c r="I902" s="4"/>
    </row>
    <row r="903" spans="5:9" x14ac:dyDescent="0.2">
      <c r="E903" s="4"/>
      <c r="F903" s="4"/>
      <c r="G903" s="5"/>
      <c r="H903" s="4"/>
      <c r="I903" s="4"/>
    </row>
    <row r="904" spans="5:9" x14ac:dyDescent="0.2">
      <c r="E904" s="4"/>
      <c r="F904" s="4"/>
      <c r="G904" s="5"/>
      <c r="H904" s="4"/>
      <c r="I904" s="4"/>
    </row>
    <row r="905" spans="5:9" x14ac:dyDescent="0.2">
      <c r="E905" s="4"/>
      <c r="F905" s="4"/>
      <c r="G905" s="5"/>
      <c r="H905" s="4"/>
      <c r="I905" s="4"/>
    </row>
    <row r="906" spans="5:9" x14ac:dyDescent="0.2">
      <c r="E906" s="4"/>
      <c r="F906" s="4"/>
      <c r="G906" s="5"/>
      <c r="H906" s="4"/>
      <c r="I906" s="4"/>
    </row>
    <row r="907" spans="5:9" x14ac:dyDescent="0.2">
      <c r="E907" s="4"/>
      <c r="F907" s="4"/>
      <c r="G907" s="5"/>
      <c r="H907" s="4"/>
      <c r="I907" s="4"/>
    </row>
    <row r="908" spans="5:9" x14ac:dyDescent="0.2">
      <c r="E908" s="4"/>
      <c r="F908" s="4"/>
      <c r="G908" s="5"/>
      <c r="H908" s="4"/>
      <c r="I908" s="4"/>
    </row>
    <row r="909" spans="5:9" x14ac:dyDescent="0.2">
      <c r="E909" s="4"/>
      <c r="F909" s="4"/>
      <c r="G909" s="5"/>
      <c r="H909" s="4"/>
      <c r="I909" s="4"/>
    </row>
    <row r="910" spans="5:9" x14ac:dyDescent="0.2">
      <c r="E910" s="4"/>
      <c r="F910" s="4"/>
      <c r="G910" s="5"/>
      <c r="H910" s="4"/>
      <c r="I910" s="4"/>
    </row>
    <row r="911" spans="5:9" x14ac:dyDescent="0.2">
      <c r="E911" s="4"/>
      <c r="F911" s="4"/>
      <c r="G911" s="5"/>
      <c r="H911" s="4"/>
      <c r="I911" s="4"/>
    </row>
    <row r="912" spans="5:9" x14ac:dyDescent="0.2">
      <c r="E912" s="4"/>
      <c r="F912" s="4"/>
      <c r="G912" s="5"/>
      <c r="H912" s="4"/>
      <c r="I912" s="4"/>
    </row>
    <row r="913" spans="5:9" x14ac:dyDescent="0.2">
      <c r="E913" s="4"/>
      <c r="F913" s="4"/>
      <c r="G913" s="5"/>
      <c r="H913" s="4"/>
      <c r="I913" s="4"/>
    </row>
    <row r="914" spans="5:9" x14ac:dyDescent="0.2">
      <c r="E914" s="4"/>
      <c r="F914" s="4"/>
      <c r="G914" s="5"/>
      <c r="H914" s="4"/>
      <c r="I914" s="4"/>
    </row>
    <row r="915" spans="5:9" x14ac:dyDescent="0.2">
      <c r="E915" s="4"/>
      <c r="F915" s="4"/>
      <c r="G915" s="5"/>
      <c r="H915" s="4"/>
      <c r="I915" s="4"/>
    </row>
    <row r="916" spans="5:9" x14ac:dyDescent="0.2">
      <c r="E916" s="4"/>
      <c r="F916" s="4"/>
      <c r="G916" s="5"/>
      <c r="H916" s="4"/>
      <c r="I916" s="4"/>
    </row>
    <row r="917" spans="5:9" x14ac:dyDescent="0.2">
      <c r="E917" s="4"/>
      <c r="F917" s="4"/>
      <c r="G917" s="5"/>
      <c r="H917" s="4"/>
      <c r="I917" s="4"/>
    </row>
    <row r="918" spans="5:9" x14ac:dyDescent="0.2">
      <c r="E918" s="4"/>
      <c r="F918" s="4"/>
      <c r="G918" s="5"/>
      <c r="H918" s="4"/>
      <c r="I918" s="4"/>
    </row>
    <row r="919" spans="5:9" x14ac:dyDescent="0.2">
      <c r="E919" s="4"/>
      <c r="F919" s="4"/>
      <c r="G919" s="5"/>
      <c r="H919" s="4"/>
      <c r="I919" s="4"/>
    </row>
    <row r="920" spans="5:9" x14ac:dyDescent="0.2">
      <c r="E920" s="4"/>
      <c r="F920" s="4"/>
      <c r="G920" s="5"/>
      <c r="H920" s="4"/>
      <c r="I920" s="4"/>
    </row>
    <row r="921" spans="5:9" x14ac:dyDescent="0.2">
      <c r="E921" s="4"/>
      <c r="F921" s="4"/>
      <c r="G921" s="5"/>
      <c r="H921" s="4"/>
      <c r="I921" s="4"/>
    </row>
    <row r="922" spans="5:9" x14ac:dyDescent="0.2">
      <c r="E922" s="4"/>
      <c r="F922" s="4"/>
      <c r="G922" s="5"/>
      <c r="H922" s="4"/>
      <c r="I922" s="4"/>
    </row>
    <row r="923" spans="5:9" x14ac:dyDescent="0.2">
      <c r="E923" s="4"/>
      <c r="F923" s="4"/>
      <c r="G923" s="5"/>
      <c r="H923" s="4"/>
      <c r="I923" s="4"/>
    </row>
    <row r="924" spans="5:9" x14ac:dyDescent="0.2">
      <c r="E924" s="4"/>
      <c r="F924" s="4"/>
      <c r="G924" s="5"/>
      <c r="H924" s="4"/>
      <c r="I924" s="4"/>
    </row>
    <row r="925" spans="5:9" x14ac:dyDescent="0.2">
      <c r="E925" s="4"/>
      <c r="F925" s="4"/>
      <c r="G925" s="5"/>
      <c r="H925" s="4"/>
      <c r="I925" s="4"/>
    </row>
    <row r="926" spans="5:9" x14ac:dyDescent="0.2">
      <c r="E926" s="4"/>
      <c r="F926" s="4"/>
      <c r="G926" s="5"/>
      <c r="H926" s="4"/>
      <c r="I926" s="4"/>
    </row>
    <row r="927" spans="5:9" x14ac:dyDescent="0.2">
      <c r="E927" s="4"/>
      <c r="F927" s="4"/>
      <c r="G927" s="5"/>
      <c r="H927" s="4"/>
      <c r="I927" s="4"/>
    </row>
    <row r="928" spans="5:9" x14ac:dyDescent="0.2">
      <c r="E928" s="4"/>
      <c r="F928" s="4"/>
      <c r="G928" s="5"/>
      <c r="H928" s="4"/>
      <c r="I928" s="4"/>
    </row>
    <row r="929" spans="5:9" x14ac:dyDescent="0.2">
      <c r="E929" s="4"/>
      <c r="F929" s="4"/>
      <c r="G929" s="5"/>
      <c r="H929" s="4"/>
      <c r="I929" s="4"/>
    </row>
    <row r="930" spans="5:9" x14ac:dyDescent="0.2">
      <c r="E930" s="4"/>
      <c r="F930" s="4"/>
      <c r="G930" s="5"/>
      <c r="H930" s="4"/>
      <c r="I930" s="4"/>
    </row>
    <row r="931" spans="5:9" x14ac:dyDescent="0.2">
      <c r="E931" s="4"/>
      <c r="F931" s="4"/>
      <c r="G931" s="5"/>
      <c r="H931" s="4"/>
      <c r="I931" s="4"/>
    </row>
    <row r="932" spans="5:9" x14ac:dyDescent="0.2">
      <c r="E932" s="4"/>
      <c r="F932" s="4"/>
      <c r="G932" s="5"/>
      <c r="H932" s="4"/>
      <c r="I932" s="4"/>
    </row>
    <row r="933" spans="5:9" x14ac:dyDescent="0.2">
      <c r="E933" s="4"/>
      <c r="F933" s="4"/>
      <c r="G933" s="5"/>
      <c r="H933" s="4"/>
      <c r="I933" s="4"/>
    </row>
    <row r="934" spans="5:9" x14ac:dyDescent="0.2">
      <c r="E934" s="4"/>
      <c r="F934" s="4"/>
      <c r="G934" s="5"/>
      <c r="H934" s="4"/>
      <c r="I934" s="4"/>
    </row>
    <row r="935" spans="5:9" x14ac:dyDescent="0.2">
      <c r="E935" s="4"/>
      <c r="F935" s="4"/>
      <c r="G935" s="5"/>
      <c r="H935" s="4"/>
      <c r="I935" s="4"/>
    </row>
    <row r="936" spans="5:9" x14ac:dyDescent="0.2">
      <c r="E936" s="4"/>
      <c r="F936" s="4"/>
      <c r="G936" s="5"/>
      <c r="H936" s="4"/>
      <c r="I936" s="4"/>
    </row>
    <row r="937" spans="5:9" x14ac:dyDescent="0.2">
      <c r="E937" s="4"/>
      <c r="F937" s="4"/>
      <c r="G937" s="5"/>
      <c r="H937" s="4"/>
      <c r="I937" s="4"/>
    </row>
    <row r="938" spans="5:9" x14ac:dyDescent="0.2">
      <c r="E938" s="4"/>
      <c r="F938" s="4"/>
      <c r="G938" s="5"/>
      <c r="H938" s="4"/>
      <c r="I938" s="4"/>
    </row>
    <row r="939" spans="5:9" x14ac:dyDescent="0.2">
      <c r="E939" s="4"/>
      <c r="F939" s="4"/>
      <c r="G939" s="5"/>
      <c r="H939" s="4"/>
      <c r="I939" s="4"/>
    </row>
    <row r="940" spans="5:9" x14ac:dyDescent="0.2">
      <c r="E940" s="4"/>
      <c r="F940" s="4"/>
      <c r="G940" s="5"/>
      <c r="H940" s="4"/>
      <c r="I940" s="4"/>
    </row>
    <row r="941" spans="5:9" x14ac:dyDescent="0.2">
      <c r="E941" s="4"/>
      <c r="F941" s="4"/>
      <c r="G941" s="5"/>
      <c r="H941" s="4"/>
      <c r="I941" s="4"/>
    </row>
    <row r="942" spans="5:9" x14ac:dyDescent="0.2">
      <c r="E942" s="4"/>
      <c r="F942" s="4"/>
      <c r="G942" s="5"/>
      <c r="H942" s="4"/>
      <c r="I942" s="4"/>
    </row>
    <row r="943" spans="5:9" x14ac:dyDescent="0.2">
      <c r="E943" s="4"/>
      <c r="F943" s="4"/>
      <c r="G943" s="5"/>
      <c r="H943" s="4"/>
      <c r="I943" s="4"/>
    </row>
    <row r="944" spans="5:9" x14ac:dyDescent="0.2">
      <c r="E944" s="4"/>
      <c r="F944" s="4"/>
      <c r="G944" s="5"/>
      <c r="H944" s="4"/>
      <c r="I944" s="4"/>
    </row>
    <row r="945" spans="5:9" x14ac:dyDescent="0.2">
      <c r="E945" s="4"/>
      <c r="F945" s="4"/>
      <c r="G945" s="5"/>
      <c r="H945" s="4"/>
      <c r="I945" s="4"/>
    </row>
    <row r="946" spans="5:9" x14ac:dyDescent="0.2">
      <c r="E946" s="4"/>
      <c r="F946" s="4"/>
      <c r="G946" s="5"/>
      <c r="H946" s="4"/>
      <c r="I946" s="4"/>
    </row>
    <row r="947" spans="5:9" x14ac:dyDescent="0.2">
      <c r="E947" s="4"/>
      <c r="F947" s="4"/>
      <c r="G947" s="5"/>
      <c r="H947" s="4"/>
      <c r="I947" s="4"/>
    </row>
    <row r="948" spans="5:9" x14ac:dyDescent="0.2">
      <c r="E948" s="4"/>
      <c r="F948" s="4"/>
      <c r="G948" s="5"/>
      <c r="H948" s="4"/>
      <c r="I948" s="4"/>
    </row>
    <row r="949" spans="5:9" x14ac:dyDescent="0.2">
      <c r="E949" s="4"/>
      <c r="F949" s="4"/>
      <c r="G949" s="5"/>
      <c r="H949" s="4"/>
      <c r="I949" s="4"/>
    </row>
    <row r="950" spans="5:9" x14ac:dyDescent="0.2">
      <c r="E950" s="4"/>
      <c r="F950" s="4"/>
      <c r="G950" s="5"/>
      <c r="H950" s="4"/>
      <c r="I950" s="4"/>
    </row>
    <row r="951" spans="5:9" x14ac:dyDescent="0.2">
      <c r="E951" s="4"/>
      <c r="F951" s="4"/>
      <c r="G951" s="5"/>
      <c r="H951" s="4"/>
      <c r="I951" s="4"/>
    </row>
    <row r="952" spans="5:9" x14ac:dyDescent="0.2">
      <c r="E952" s="4"/>
      <c r="F952" s="4"/>
      <c r="G952" s="5"/>
      <c r="H952" s="4"/>
      <c r="I952" s="4"/>
    </row>
    <row r="953" spans="5:9" x14ac:dyDescent="0.2">
      <c r="E953" s="4"/>
      <c r="F953" s="4"/>
      <c r="G953" s="5"/>
      <c r="H953" s="4"/>
      <c r="I953" s="4"/>
    </row>
    <row r="954" spans="5:9" x14ac:dyDescent="0.2">
      <c r="E954" s="4"/>
      <c r="F954" s="4"/>
      <c r="G954" s="5"/>
      <c r="H954" s="4"/>
      <c r="I954" s="4"/>
    </row>
    <row r="955" spans="5:9" x14ac:dyDescent="0.2">
      <c r="E955" s="4"/>
      <c r="F955" s="4"/>
      <c r="G955" s="5"/>
      <c r="H955" s="4"/>
      <c r="I955" s="4"/>
    </row>
    <row r="956" spans="5:9" x14ac:dyDescent="0.2">
      <c r="E956" s="4"/>
      <c r="F956" s="4"/>
      <c r="G956" s="5"/>
      <c r="H956" s="4"/>
      <c r="I956" s="4"/>
    </row>
    <row r="957" spans="5:9" x14ac:dyDescent="0.2">
      <c r="E957" s="4"/>
      <c r="F957" s="4"/>
      <c r="G957" s="5"/>
      <c r="H957" s="4"/>
      <c r="I957" s="4"/>
    </row>
    <row r="958" spans="5:9" x14ac:dyDescent="0.2">
      <c r="E958" s="4"/>
      <c r="F958" s="4"/>
      <c r="G958" s="5"/>
      <c r="H958" s="4"/>
      <c r="I958" s="4"/>
    </row>
    <row r="959" spans="5:9" x14ac:dyDescent="0.2">
      <c r="E959" s="4"/>
      <c r="F959" s="4"/>
      <c r="G959" s="5"/>
      <c r="H959" s="4"/>
      <c r="I959" s="4"/>
    </row>
    <row r="960" spans="5:9" x14ac:dyDescent="0.2">
      <c r="E960" s="4"/>
      <c r="F960" s="4"/>
      <c r="G960" s="5"/>
      <c r="H960" s="4"/>
      <c r="I960" s="4"/>
    </row>
    <row r="961" spans="5:9" x14ac:dyDescent="0.2">
      <c r="E961" s="4"/>
      <c r="F961" s="4"/>
      <c r="G961" s="5"/>
      <c r="H961" s="4"/>
      <c r="I961" s="4"/>
    </row>
    <row r="962" spans="5:9" x14ac:dyDescent="0.2">
      <c r="E962" s="4"/>
      <c r="F962" s="4"/>
      <c r="G962" s="5"/>
      <c r="H962" s="4"/>
      <c r="I962" s="4"/>
    </row>
    <row r="963" spans="5:9" x14ac:dyDescent="0.2">
      <c r="E963" s="4"/>
      <c r="F963" s="4"/>
      <c r="G963" s="5"/>
      <c r="H963" s="4"/>
      <c r="I963" s="4"/>
    </row>
    <row r="964" spans="5:9" x14ac:dyDescent="0.2">
      <c r="E964" s="4"/>
      <c r="F964" s="4"/>
      <c r="G964" s="5"/>
      <c r="H964" s="4"/>
      <c r="I964" s="4"/>
    </row>
    <row r="965" spans="5:9" x14ac:dyDescent="0.2">
      <c r="E965" s="4"/>
      <c r="F965" s="4"/>
      <c r="G965" s="5"/>
      <c r="H965" s="4"/>
      <c r="I965" s="4"/>
    </row>
    <row r="966" spans="5:9" x14ac:dyDescent="0.2">
      <c r="E966" s="4"/>
      <c r="F966" s="4"/>
      <c r="G966" s="5"/>
      <c r="H966" s="4"/>
      <c r="I966" s="4"/>
    </row>
    <row r="967" spans="5:9" x14ac:dyDescent="0.2">
      <c r="E967" s="4"/>
      <c r="F967" s="4"/>
      <c r="G967" s="5"/>
      <c r="H967" s="4"/>
      <c r="I967" s="4"/>
    </row>
    <row r="968" spans="5:9" x14ac:dyDescent="0.2">
      <c r="E968" s="4"/>
      <c r="F968" s="4"/>
      <c r="G968" s="5"/>
      <c r="H968" s="4"/>
      <c r="I968" s="4"/>
    </row>
    <row r="969" spans="5:9" x14ac:dyDescent="0.2">
      <c r="E969" s="4"/>
      <c r="F969" s="4"/>
      <c r="G969" s="5"/>
      <c r="H969" s="4"/>
      <c r="I969" s="4"/>
    </row>
    <row r="970" spans="5:9" x14ac:dyDescent="0.2">
      <c r="E970" s="4"/>
      <c r="F970" s="4"/>
      <c r="G970" s="5"/>
      <c r="H970" s="4"/>
      <c r="I970" s="4"/>
    </row>
    <row r="971" spans="5:9" x14ac:dyDescent="0.2">
      <c r="E971" s="4"/>
      <c r="F971" s="4"/>
      <c r="G971" s="5"/>
      <c r="H971" s="4"/>
      <c r="I971" s="4"/>
    </row>
    <row r="972" spans="5:9" x14ac:dyDescent="0.2">
      <c r="E972" s="4"/>
      <c r="F972" s="4"/>
      <c r="G972" s="5"/>
      <c r="H972" s="4"/>
      <c r="I972" s="4"/>
    </row>
    <row r="973" spans="5:9" x14ac:dyDescent="0.2">
      <c r="E973" s="4"/>
      <c r="F973" s="4"/>
      <c r="G973" s="5"/>
      <c r="H973" s="4"/>
      <c r="I973" s="4"/>
    </row>
    <row r="974" spans="5:9" x14ac:dyDescent="0.2">
      <c r="E974" s="4"/>
      <c r="F974" s="4"/>
      <c r="G974" s="5"/>
      <c r="H974" s="4"/>
      <c r="I974" s="4"/>
    </row>
    <row r="975" spans="5:9" x14ac:dyDescent="0.2">
      <c r="E975" s="4"/>
      <c r="F975" s="4"/>
      <c r="G975" s="5"/>
      <c r="H975" s="4"/>
      <c r="I975" s="4"/>
    </row>
    <row r="976" spans="5:9" x14ac:dyDescent="0.2">
      <c r="E976" s="4"/>
      <c r="F976" s="4"/>
      <c r="G976" s="5"/>
      <c r="H976" s="4"/>
      <c r="I976" s="4"/>
    </row>
    <row r="977" spans="5:9" x14ac:dyDescent="0.2">
      <c r="E977" s="4"/>
      <c r="F977" s="4"/>
      <c r="G977" s="5"/>
      <c r="H977" s="4"/>
      <c r="I977" s="4"/>
    </row>
    <row r="978" spans="5:9" x14ac:dyDescent="0.2">
      <c r="E978" s="4"/>
      <c r="F978" s="4"/>
      <c r="G978" s="5"/>
      <c r="H978" s="4"/>
      <c r="I978" s="4"/>
    </row>
    <row r="979" spans="5:9" x14ac:dyDescent="0.2">
      <c r="E979" s="4"/>
      <c r="F979" s="4"/>
      <c r="G979" s="5"/>
      <c r="H979" s="4"/>
      <c r="I979" s="4"/>
    </row>
    <row r="980" spans="5:9" x14ac:dyDescent="0.2">
      <c r="E980" s="4"/>
      <c r="F980" s="4"/>
      <c r="G980" s="5"/>
      <c r="H980" s="4"/>
      <c r="I980" s="4"/>
    </row>
    <row r="981" spans="5:9" x14ac:dyDescent="0.2">
      <c r="E981" s="4"/>
      <c r="F981" s="4"/>
      <c r="G981" s="5"/>
      <c r="H981" s="4"/>
      <c r="I981" s="4"/>
    </row>
    <row r="982" spans="5:9" x14ac:dyDescent="0.2">
      <c r="E982" s="4"/>
      <c r="F982" s="4"/>
      <c r="G982" s="5"/>
      <c r="H982" s="4"/>
      <c r="I982" s="4"/>
    </row>
    <row r="983" spans="5:9" x14ac:dyDescent="0.2">
      <c r="E983" s="4"/>
      <c r="F983" s="4"/>
      <c r="G983" s="5"/>
      <c r="H983" s="4"/>
      <c r="I983" s="4"/>
    </row>
    <row r="984" spans="5:9" x14ac:dyDescent="0.2">
      <c r="E984" s="4"/>
      <c r="F984" s="4"/>
      <c r="G984" s="5"/>
      <c r="H984" s="4"/>
      <c r="I984" s="4"/>
    </row>
    <row r="985" spans="5:9" x14ac:dyDescent="0.2">
      <c r="E985" s="4"/>
      <c r="F985" s="4"/>
      <c r="G985" s="5"/>
      <c r="H985" s="4"/>
      <c r="I985" s="4"/>
    </row>
    <row r="986" spans="5:9" x14ac:dyDescent="0.2">
      <c r="E986" s="4"/>
      <c r="F986" s="4"/>
      <c r="G986" s="5"/>
      <c r="H986" s="4"/>
      <c r="I986" s="4"/>
    </row>
    <row r="987" spans="5:9" x14ac:dyDescent="0.2">
      <c r="E987" s="4"/>
      <c r="F987" s="4"/>
      <c r="G987" s="5"/>
      <c r="H987" s="4"/>
      <c r="I987" s="4"/>
    </row>
    <row r="988" spans="5:9" x14ac:dyDescent="0.2">
      <c r="E988" s="4"/>
      <c r="F988" s="4"/>
      <c r="G988" s="5"/>
      <c r="H988" s="4"/>
      <c r="I988" s="4"/>
    </row>
    <row r="989" spans="5:9" x14ac:dyDescent="0.2">
      <c r="E989" s="4"/>
      <c r="F989" s="4"/>
      <c r="G989" s="5"/>
      <c r="H989" s="4"/>
      <c r="I989" s="4"/>
    </row>
    <row r="990" spans="5:9" x14ac:dyDescent="0.2">
      <c r="E990" s="4"/>
      <c r="F990" s="4"/>
      <c r="G990" s="5"/>
      <c r="H990" s="4"/>
      <c r="I990" s="4"/>
    </row>
    <row r="991" spans="5:9" x14ac:dyDescent="0.2">
      <c r="E991" s="4"/>
      <c r="F991" s="4"/>
      <c r="G991" s="5"/>
      <c r="H991" s="4"/>
      <c r="I991" s="4"/>
    </row>
    <row r="992" spans="5:9" x14ac:dyDescent="0.2">
      <c r="E992" s="4"/>
      <c r="F992" s="4"/>
      <c r="G992" s="5"/>
      <c r="H992" s="4"/>
      <c r="I992" s="4"/>
    </row>
    <row r="993" spans="5:9" x14ac:dyDescent="0.2">
      <c r="E993" s="4"/>
      <c r="F993" s="4"/>
      <c r="G993" s="5"/>
      <c r="H993" s="4"/>
      <c r="I993" s="4"/>
    </row>
    <row r="994" spans="5:9" x14ac:dyDescent="0.2">
      <c r="E994" s="4"/>
      <c r="F994" s="4"/>
      <c r="G994" s="5"/>
      <c r="H994" s="4"/>
      <c r="I994" s="4"/>
    </row>
    <row r="995" spans="5:9" x14ac:dyDescent="0.2">
      <c r="E995" s="4"/>
      <c r="F995" s="4"/>
      <c r="G995" s="5"/>
      <c r="H995" s="4"/>
      <c r="I995" s="4"/>
    </row>
    <row r="996" spans="5:9" x14ac:dyDescent="0.2">
      <c r="E996" s="4"/>
      <c r="F996" s="4"/>
      <c r="G996" s="5"/>
      <c r="H996" s="4"/>
      <c r="I996" s="4"/>
    </row>
    <row r="997" spans="5:9" x14ac:dyDescent="0.2">
      <c r="E997" s="4"/>
      <c r="F997" s="4"/>
      <c r="G997" s="5"/>
      <c r="H997" s="4"/>
      <c r="I997" s="4"/>
    </row>
    <row r="998" spans="5:9" x14ac:dyDescent="0.2">
      <c r="E998" s="4"/>
      <c r="F998" s="4"/>
      <c r="G998" s="5"/>
      <c r="H998" s="4"/>
      <c r="I998" s="4"/>
    </row>
    <row r="999" spans="5:9" x14ac:dyDescent="0.2">
      <c r="E999" s="4"/>
      <c r="F999" s="4"/>
      <c r="G999" s="5"/>
      <c r="H999" s="4"/>
      <c r="I999" s="4"/>
    </row>
    <row r="1000" spans="5:9" x14ac:dyDescent="0.2">
      <c r="E1000" s="4"/>
      <c r="F1000" s="4"/>
      <c r="G1000" s="5"/>
      <c r="H1000" s="4"/>
      <c r="I1000" s="4"/>
    </row>
    <row r="1001" spans="5:9" x14ac:dyDescent="0.2">
      <c r="E1001" s="4"/>
      <c r="F1001" s="4"/>
      <c r="G1001" s="5"/>
      <c r="H1001" s="4"/>
      <c r="I1001" s="4"/>
    </row>
    <row r="1002" spans="5:9" x14ac:dyDescent="0.2">
      <c r="E1002" s="4"/>
      <c r="F1002" s="4"/>
      <c r="G1002" s="5"/>
      <c r="H1002" s="4"/>
      <c r="I1002" s="4"/>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19"/>
  <sheetViews>
    <sheetView workbookViewId="0">
      <selection activeCell="H163" sqref="H163"/>
    </sheetView>
  </sheetViews>
  <sheetFormatPr defaultColWidth="14.42578125" defaultRowHeight="15.75" customHeight="1" x14ac:dyDescent="0.2"/>
  <cols>
    <col min="1" max="1" width="60.5703125" customWidth="1"/>
  </cols>
  <sheetData>
    <row r="1" spans="1:1" ht="15.75" customHeight="1" x14ac:dyDescent="0.2">
      <c r="A1" s="1" t="s">
        <v>165</v>
      </c>
    </row>
    <row r="2" spans="1:1" ht="15.75" customHeight="1" x14ac:dyDescent="0.2">
      <c r="A2" s="1" t="s">
        <v>166</v>
      </c>
    </row>
    <row r="3" spans="1:1" ht="15.75" customHeight="1" x14ac:dyDescent="0.2">
      <c r="A3" s="1" t="s">
        <v>167</v>
      </c>
    </row>
    <row r="4" spans="1:1" ht="15.75" customHeight="1" x14ac:dyDescent="0.2">
      <c r="A4" s="1" t="s">
        <v>168</v>
      </c>
    </row>
    <row r="5" spans="1:1" ht="15.75" customHeight="1" x14ac:dyDescent="0.2">
      <c r="A5" s="1" t="s">
        <v>169</v>
      </c>
    </row>
    <row r="6" spans="1:1" ht="15.75" customHeight="1" x14ac:dyDescent="0.2">
      <c r="A6" s="1" t="s">
        <v>170</v>
      </c>
    </row>
    <row r="7" spans="1:1" ht="15.75" customHeight="1" x14ac:dyDescent="0.2">
      <c r="A7" s="1" t="s">
        <v>171</v>
      </c>
    </row>
    <row r="8" spans="1:1" ht="15.75" customHeight="1" x14ac:dyDescent="0.2">
      <c r="A8" s="1" t="s">
        <v>172</v>
      </c>
    </row>
    <row r="9" spans="1:1" ht="15.75" customHeight="1" x14ac:dyDescent="0.2">
      <c r="A9" s="1" t="s">
        <v>173</v>
      </c>
    </row>
    <row r="10" spans="1:1" ht="15.75" customHeight="1" x14ac:dyDescent="0.2">
      <c r="A10" s="1" t="s">
        <v>174</v>
      </c>
    </row>
    <row r="11" spans="1:1" ht="15.75" customHeight="1" x14ac:dyDescent="0.2">
      <c r="A11" s="1" t="s">
        <v>175</v>
      </c>
    </row>
    <row r="12" spans="1:1" ht="15.75" customHeight="1" x14ac:dyDescent="0.2">
      <c r="A12" s="1" t="s">
        <v>176</v>
      </c>
    </row>
    <row r="13" spans="1:1" ht="15.75" customHeight="1" x14ac:dyDescent="0.2">
      <c r="A13" s="1" t="s">
        <v>177</v>
      </c>
    </row>
    <row r="14" spans="1:1" ht="15.75" customHeight="1" x14ac:dyDescent="0.2">
      <c r="A14" s="1" t="s">
        <v>178</v>
      </c>
    </row>
    <row r="15" spans="1:1" ht="15.75" customHeight="1" x14ac:dyDescent="0.2">
      <c r="A15" s="1" t="s">
        <v>179</v>
      </c>
    </row>
    <row r="16" spans="1:1" ht="15.75" customHeight="1" x14ac:dyDescent="0.2">
      <c r="A16" s="1" t="s">
        <v>180</v>
      </c>
    </row>
    <row r="17" spans="1:1" ht="15.75" customHeight="1" x14ac:dyDescent="0.2">
      <c r="A17" s="1" t="s">
        <v>181</v>
      </c>
    </row>
    <row r="18" spans="1:1" ht="15.75" customHeight="1" x14ac:dyDescent="0.2">
      <c r="A18" s="1" t="s">
        <v>182</v>
      </c>
    </row>
    <row r="19" spans="1:1" ht="15.75" customHeight="1" x14ac:dyDescent="0.2">
      <c r="A19" s="1" t="s">
        <v>183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205"/>
  <sheetViews>
    <sheetView workbookViewId="0">
      <selection activeCell="H163" sqref="H163"/>
    </sheetView>
  </sheetViews>
  <sheetFormatPr defaultColWidth="14.42578125" defaultRowHeight="15.75" customHeight="1" x14ac:dyDescent="0.2"/>
  <cols>
    <col min="1" max="1" width="9.140625" customWidth="1"/>
    <col min="2" max="2" width="29.85546875" bestFit="1" customWidth="1"/>
  </cols>
  <sheetData>
    <row r="1" spans="1:3" ht="15.75" customHeight="1" x14ac:dyDescent="0.2">
      <c r="A1" s="1"/>
      <c r="B1" s="1"/>
      <c r="C1" s="1"/>
    </row>
    <row r="2" spans="1:3" ht="15.75" customHeight="1" x14ac:dyDescent="0.2">
      <c r="A2" s="1"/>
      <c r="B2" s="1"/>
      <c r="C2" s="1"/>
    </row>
    <row r="3" spans="1:3" ht="15.75" customHeight="1" x14ac:dyDescent="0.2">
      <c r="A3" s="1" t="s">
        <v>184</v>
      </c>
      <c r="B3" s="1" t="s">
        <v>185</v>
      </c>
      <c r="C3" s="1" t="s">
        <v>186</v>
      </c>
    </row>
    <row r="4" spans="1:3" ht="15.75" customHeight="1" x14ac:dyDescent="0.2">
      <c r="A4" s="6">
        <v>1</v>
      </c>
      <c r="B4" s="6" t="s">
        <v>187</v>
      </c>
      <c r="C4" s="1" t="s">
        <v>188</v>
      </c>
    </row>
    <row r="5" spans="1:3" ht="15.75" customHeight="1" x14ac:dyDescent="0.2">
      <c r="A5" s="6">
        <v>2</v>
      </c>
      <c r="B5" s="6" t="s">
        <v>189</v>
      </c>
      <c r="C5" s="6" t="s">
        <v>188</v>
      </c>
    </row>
    <row r="6" spans="1:3" ht="15.75" customHeight="1" x14ac:dyDescent="0.2">
      <c r="A6" s="6">
        <v>3</v>
      </c>
      <c r="B6" s="6" t="s">
        <v>190</v>
      </c>
      <c r="C6" s="6" t="s">
        <v>188</v>
      </c>
    </row>
    <row r="7" spans="1:3" ht="15.75" customHeight="1" x14ac:dyDescent="0.2">
      <c r="A7" s="6">
        <v>4</v>
      </c>
      <c r="B7" s="6" t="s">
        <v>191</v>
      </c>
      <c r="C7" s="6" t="s">
        <v>188</v>
      </c>
    </row>
    <row r="8" spans="1:3" ht="15.75" customHeight="1" x14ac:dyDescent="0.2">
      <c r="A8" s="6">
        <v>5</v>
      </c>
      <c r="B8" s="6" t="s">
        <v>192</v>
      </c>
      <c r="C8" s="6" t="s">
        <v>188</v>
      </c>
    </row>
    <row r="9" spans="1:3" ht="15.75" customHeight="1" x14ac:dyDescent="0.2">
      <c r="A9" s="6">
        <v>6</v>
      </c>
      <c r="B9" s="6" t="s">
        <v>193</v>
      </c>
      <c r="C9" s="6" t="s">
        <v>188</v>
      </c>
    </row>
    <row r="10" spans="1:3" ht="15.75" customHeight="1" x14ac:dyDescent="0.2">
      <c r="A10" s="6">
        <v>7</v>
      </c>
      <c r="B10" s="6" t="s">
        <v>194</v>
      </c>
      <c r="C10" s="6" t="s">
        <v>188</v>
      </c>
    </row>
    <row r="11" spans="1:3" ht="15.75" customHeight="1" x14ac:dyDescent="0.2">
      <c r="A11" s="6">
        <v>8</v>
      </c>
      <c r="B11" s="6" t="s">
        <v>195</v>
      </c>
      <c r="C11" s="6" t="s">
        <v>188</v>
      </c>
    </row>
    <row r="12" spans="1:3" ht="15.75" customHeight="1" x14ac:dyDescent="0.2">
      <c r="A12" s="6">
        <v>9</v>
      </c>
      <c r="B12" s="6" t="s">
        <v>196</v>
      </c>
      <c r="C12" s="6" t="s">
        <v>188</v>
      </c>
    </row>
    <row r="13" spans="1:3" ht="15.75" customHeight="1" x14ac:dyDescent="0.2">
      <c r="A13" s="6">
        <v>10</v>
      </c>
      <c r="B13" s="6" t="s">
        <v>197</v>
      </c>
      <c r="C13" s="6" t="s">
        <v>188</v>
      </c>
    </row>
    <row r="14" spans="1:3" ht="15.75" customHeight="1" x14ac:dyDescent="0.2">
      <c r="A14" s="6">
        <v>11</v>
      </c>
      <c r="B14" s="6" t="s">
        <v>198</v>
      </c>
      <c r="C14" s="6" t="s">
        <v>188</v>
      </c>
    </row>
    <row r="15" spans="1:3" ht="15.75" customHeight="1" x14ac:dyDescent="0.2">
      <c r="A15" s="6">
        <v>12</v>
      </c>
      <c r="B15" s="6" t="s">
        <v>199</v>
      </c>
      <c r="C15" s="6" t="s">
        <v>188</v>
      </c>
    </row>
    <row r="16" spans="1:3" ht="15.75" customHeight="1" x14ac:dyDescent="0.2">
      <c r="A16" s="6">
        <v>13</v>
      </c>
      <c r="B16" s="6" t="s">
        <v>200</v>
      </c>
      <c r="C16" s="6" t="s">
        <v>188</v>
      </c>
    </row>
    <row r="17" spans="1:3" ht="15.75" customHeight="1" x14ac:dyDescent="0.2">
      <c r="A17" s="6">
        <v>14</v>
      </c>
      <c r="B17" s="6" t="s">
        <v>201</v>
      </c>
      <c r="C17" s="6" t="s">
        <v>188</v>
      </c>
    </row>
    <row r="18" spans="1:3" ht="15.75" customHeight="1" x14ac:dyDescent="0.2">
      <c r="A18" s="6">
        <v>15</v>
      </c>
      <c r="B18" s="6" t="s">
        <v>202</v>
      </c>
      <c r="C18" s="6" t="s">
        <v>188</v>
      </c>
    </row>
    <row r="19" spans="1:3" ht="15.75" customHeight="1" x14ac:dyDescent="0.2">
      <c r="A19" s="6">
        <v>16</v>
      </c>
      <c r="B19" s="6" t="s">
        <v>203</v>
      </c>
      <c r="C19" s="6" t="s">
        <v>188</v>
      </c>
    </row>
    <row r="20" spans="1:3" ht="15.75" customHeight="1" x14ac:dyDescent="0.2">
      <c r="A20" s="6">
        <v>17</v>
      </c>
      <c r="B20" s="6" t="s">
        <v>204</v>
      </c>
      <c r="C20" s="6" t="s">
        <v>188</v>
      </c>
    </row>
    <row r="21" spans="1:3" ht="15.75" customHeight="1" x14ac:dyDescent="0.2">
      <c r="A21" s="6">
        <v>18</v>
      </c>
      <c r="B21" s="6" t="s">
        <v>205</v>
      </c>
      <c r="C21" s="6" t="s">
        <v>188</v>
      </c>
    </row>
    <row r="22" spans="1:3" ht="15.75" customHeight="1" x14ac:dyDescent="0.2">
      <c r="A22" s="6">
        <v>19</v>
      </c>
      <c r="B22" s="6" t="s">
        <v>206</v>
      </c>
      <c r="C22" s="6" t="s">
        <v>188</v>
      </c>
    </row>
    <row r="23" spans="1:3" ht="12.75" x14ac:dyDescent="0.2">
      <c r="A23" s="6">
        <v>20</v>
      </c>
      <c r="B23" s="6" t="s">
        <v>207</v>
      </c>
      <c r="C23" s="6" t="s">
        <v>188</v>
      </c>
    </row>
    <row r="24" spans="1:3" ht="12.75" x14ac:dyDescent="0.2">
      <c r="A24" s="6">
        <v>21</v>
      </c>
      <c r="B24" s="6" t="s">
        <v>208</v>
      </c>
      <c r="C24" s="6" t="s">
        <v>188</v>
      </c>
    </row>
    <row r="25" spans="1:3" ht="12.75" x14ac:dyDescent="0.2">
      <c r="A25" s="6">
        <v>22</v>
      </c>
      <c r="B25" s="6" t="s">
        <v>209</v>
      </c>
      <c r="C25" s="6" t="s">
        <v>188</v>
      </c>
    </row>
    <row r="26" spans="1:3" ht="12.75" x14ac:dyDescent="0.2">
      <c r="A26" s="6">
        <v>23</v>
      </c>
      <c r="B26" s="6" t="s">
        <v>210</v>
      </c>
      <c r="C26" s="6" t="s">
        <v>188</v>
      </c>
    </row>
    <row r="27" spans="1:3" ht="12.75" x14ac:dyDescent="0.2">
      <c r="A27" s="6">
        <v>24</v>
      </c>
      <c r="B27" s="6" t="s">
        <v>211</v>
      </c>
      <c r="C27" s="6" t="s">
        <v>188</v>
      </c>
    </row>
    <row r="28" spans="1:3" ht="12.75" x14ac:dyDescent="0.2">
      <c r="A28" s="6">
        <v>25</v>
      </c>
      <c r="B28" s="6" t="s">
        <v>212</v>
      </c>
      <c r="C28" s="6" t="s">
        <v>188</v>
      </c>
    </row>
    <row r="29" spans="1:3" ht="12.75" x14ac:dyDescent="0.2">
      <c r="A29" s="6">
        <v>26</v>
      </c>
      <c r="B29" s="6" t="s">
        <v>213</v>
      </c>
      <c r="C29" s="6" t="s">
        <v>188</v>
      </c>
    </row>
    <row r="30" spans="1:3" ht="12.75" x14ac:dyDescent="0.2">
      <c r="A30" s="6">
        <v>27</v>
      </c>
      <c r="B30" s="6" t="s">
        <v>214</v>
      </c>
      <c r="C30" s="6" t="s">
        <v>188</v>
      </c>
    </row>
    <row r="31" spans="1:3" ht="12.75" x14ac:dyDescent="0.2">
      <c r="A31" s="6">
        <v>28</v>
      </c>
      <c r="B31" s="6" t="s">
        <v>215</v>
      </c>
      <c r="C31" s="6" t="s">
        <v>188</v>
      </c>
    </row>
    <row r="32" spans="1:3" ht="12.75" x14ac:dyDescent="0.2">
      <c r="A32" s="6">
        <v>29</v>
      </c>
      <c r="B32" s="6" t="s">
        <v>216</v>
      </c>
      <c r="C32" s="6" t="s">
        <v>188</v>
      </c>
    </row>
    <row r="33" spans="1:3" ht="12.75" x14ac:dyDescent="0.2">
      <c r="A33" s="6">
        <v>30</v>
      </c>
      <c r="B33" s="6" t="s">
        <v>217</v>
      </c>
      <c r="C33" s="6" t="s">
        <v>188</v>
      </c>
    </row>
    <row r="34" spans="1:3" ht="12.75" x14ac:dyDescent="0.2">
      <c r="A34" s="6">
        <v>31</v>
      </c>
      <c r="B34" s="6" t="s">
        <v>218</v>
      </c>
      <c r="C34" s="6" t="s">
        <v>188</v>
      </c>
    </row>
    <row r="35" spans="1:3" ht="12.75" x14ac:dyDescent="0.2">
      <c r="A35" s="6">
        <v>32</v>
      </c>
      <c r="B35" s="6" t="s">
        <v>219</v>
      </c>
      <c r="C35" s="6" t="s">
        <v>188</v>
      </c>
    </row>
    <row r="36" spans="1:3" ht="12.75" x14ac:dyDescent="0.2">
      <c r="A36" s="6">
        <v>33</v>
      </c>
      <c r="B36" s="6" t="s">
        <v>220</v>
      </c>
      <c r="C36" s="6" t="s">
        <v>188</v>
      </c>
    </row>
    <row r="37" spans="1:3" ht="12.75" x14ac:dyDescent="0.2">
      <c r="A37" s="6">
        <v>34</v>
      </c>
      <c r="B37" s="6" t="s">
        <v>221</v>
      </c>
      <c r="C37" s="6" t="s">
        <v>188</v>
      </c>
    </row>
    <row r="38" spans="1:3" ht="12.75" x14ac:dyDescent="0.2">
      <c r="A38" s="6">
        <v>35</v>
      </c>
      <c r="B38" s="6" t="s">
        <v>222</v>
      </c>
      <c r="C38" s="6" t="s">
        <v>188</v>
      </c>
    </row>
    <row r="39" spans="1:3" ht="12.75" x14ac:dyDescent="0.2">
      <c r="A39" s="6">
        <v>36</v>
      </c>
      <c r="B39" s="6" t="s">
        <v>223</v>
      </c>
      <c r="C39" s="6" t="s">
        <v>188</v>
      </c>
    </row>
    <row r="40" spans="1:3" ht="12.75" x14ac:dyDescent="0.2">
      <c r="A40" s="6">
        <v>37</v>
      </c>
      <c r="B40" s="6" t="s">
        <v>224</v>
      </c>
      <c r="C40" s="6" t="s">
        <v>188</v>
      </c>
    </row>
    <row r="41" spans="1:3" ht="12.75" x14ac:dyDescent="0.2">
      <c r="A41" s="6">
        <v>38</v>
      </c>
      <c r="B41" s="6" t="s">
        <v>225</v>
      </c>
      <c r="C41" s="6" t="s">
        <v>188</v>
      </c>
    </row>
    <row r="42" spans="1:3" ht="12.75" x14ac:dyDescent="0.2">
      <c r="A42" s="6">
        <v>39</v>
      </c>
      <c r="B42" s="6" t="s">
        <v>226</v>
      </c>
      <c r="C42" s="6" t="s">
        <v>188</v>
      </c>
    </row>
    <row r="43" spans="1:3" ht="12.75" x14ac:dyDescent="0.2">
      <c r="A43" s="6">
        <v>40</v>
      </c>
      <c r="B43" s="6" t="s">
        <v>227</v>
      </c>
      <c r="C43" s="6" t="s">
        <v>188</v>
      </c>
    </row>
    <row r="44" spans="1:3" ht="12.75" x14ac:dyDescent="0.2">
      <c r="A44" s="6">
        <v>41</v>
      </c>
      <c r="B44" s="6" t="s">
        <v>228</v>
      </c>
      <c r="C44" s="6" t="s">
        <v>188</v>
      </c>
    </row>
    <row r="45" spans="1:3" ht="12.75" x14ac:dyDescent="0.2">
      <c r="A45" s="6">
        <v>42</v>
      </c>
      <c r="B45" s="6" t="s">
        <v>229</v>
      </c>
      <c r="C45" s="6" t="s">
        <v>188</v>
      </c>
    </row>
    <row r="46" spans="1:3" ht="12.75" x14ac:dyDescent="0.2">
      <c r="A46" s="6">
        <v>43</v>
      </c>
      <c r="B46" s="6" t="s">
        <v>230</v>
      </c>
      <c r="C46" s="6" t="s">
        <v>188</v>
      </c>
    </row>
    <row r="47" spans="1:3" ht="12.75" x14ac:dyDescent="0.2">
      <c r="A47" s="6">
        <v>44</v>
      </c>
      <c r="B47" s="6" t="s">
        <v>231</v>
      </c>
      <c r="C47" s="6" t="s">
        <v>188</v>
      </c>
    </row>
    <row r="48" spans="1:3" ht="12.75" x14ac:dyDescent="0.2">
      <c r="A48" s="6">
        <v>45</v>
      </c>
      <c r="B48" s="6" t="s">
        <v>232</v>
      </c>
      <c r="C48" s="6" t="s">
        <v>188</v>
      </c>
    </row>
    <row r="49" spans="1:3" ht="12.75" x14ac:dyDescent="0.2">
      <c r="A49" s="6">
        <v>46</v>
      </c>
      <c r="B49" s="6" t="s">
        <v>233</v>
      </c>
      <c r="C49" s="6" t="s">
        <v>188</v>
      </c>
    </row>
    <row r="50" spans="1:3" ht="12.75" x14ac:dyDescent="0.2">
      <c r="A50" s="6">
        <v>47</v>
      </c>
      <c r="B50" s="6" t="s">
        <v>234</v>
      </c>
      <c r="C50" s="6" t="s">
        <v>188</v>
      </c>
    </row>
    <row r="51" spans="1:3" ht="12.75" x14ac:dyDescent="0.2">
      <c r="A51" s="6">
        <v>48</v>
      </c>
      <c r="B51" s="6" t="s">
        <v>235</v>
      </c>
      <c r="C51" s="6" t="s">
        <v>188</v>
      </c>
    </row>
    <row r="52" spans="1:3" ht="12.75" x14ac:dyDescent="0.2">
      <c r="A52" s="6">
        <v>49</v>
      </c>
      <c r="B52" s="6" t="s">
        <v>236</v>
      </c>
      <c r="C52" s="6" t="s">
        <v>188</v>
      </c>
    </row>
    <row r="53" spans="1:3" ht="12.75" x14ac:dyDescent="0.2">
      <c r="A53" s="6">
        <v>50</v>
      </c>
      <c r="B53" s="6" t="s">
        <v>237</v>
      </c>
      <c r="C53" s="6" t="s">
        <v>188</v>
      </c>
    </row>
    <row r="54" spans="1:3" ht="12.75" x14ac:dyDescent="0.2">
      <c r="A54" s="6">
        <v>51</v>
      </c>
      <c r="B54" s="6" t="s">
        <v>238</v>
      </c>
      <c r="C54" s="1" t="s">
        <v>239</v>
      </c>
    </row>
    <row r="55" spans="1:3" ht="12.75" x14ac:dyDescent="0.2">
      <c r="A55" s="6">
        <v>52</v>
      </c>
      <c r="B55" s="6" t="s">
        <v>240</v>
      </c>
      <c r="C55" s="6" t="s">
        <v>239</v>
      </c>
    </row>
    <row r="56" spans="1:3" ht="12.75" x14ac:dyDescent="0.2">
      <c r="A56" s="6">
        <v>53</v>
      </c>
      <c r="B56" s="6" t="s">
        <v>241</v>
      </c>
      <c r="C56" s="6" t="s">
        <v>239</v>
      </c>
    </row>
    <row r="57" spans="1:3" ht="12.75" x14ac:dyDescent="0.2">
      <c r="A57" s="6">
        <v>54</v>
      </c>
      <c r="B57" s="6" t="s">
        <v>242</v>
      </c>
      <c r="C57" s="6" t="s">
        <v>239</v>
      </c>
    </row>
    <row r="58" spans="1:3" ht="12.75" x14ac:dyDescent="0.2">
      <c r="A58" s="6">
        <v>55</v>
      </c>
      <c r="B58" s="6" t="s">
        <v>243</v>
      </c>
      <c r="C58" s="6" t="s">
        <v>239</v>
      </c>
    </row>
    <row r="59" spans="1:3" ht="12.75" x14ac:dyDescent="0.2">
      <c r="A59" s="6">
        <v>56</v>
      </c>
      <c r="B59" s="6" t="s">
        <v>244</v>
      </c>
      <c r="C59" s="6" t="s">
        <v>239</v>
      </c>
    </row>
    <row r="60" spans="1:3" ht="12.75" x14ac:dyDescent="0.2">
      <c r="A60" s="6">
        <v>57</v>
      </c>
      <c r="B60" s="6" t="s">
        <v>245</v>
      </c>
      <c r="C60" s="6" t="s">
        <v>239</v>
      </c>
    </row>
    <row r="61" spans="1:3" ht="12.75" x14ac:dyDescent="0.2">
      <c r="A61" s="6">
        <v>58</v>
      </c>
      <c r="B61" s="6" t="s">
        <v>246</v>
      </c>
      <c r="C61" s="6" t="s">
        <v>239</v>
      </c>
    </row>
    <row r="62" spans="1:3" ht="12.75" x14ac:dyDescent="0.2">
      <c r="A62" s="6">
        <v>59</v>
      </c>
      <c r="B62" s="6" t="s">
        <v>247</v>
      </c>
      <c r="C62" s="6" t="s">
        <v>239</v>
      </c>
    </row>
    <row r="63" spans="1:3" ht="12.75" x14ac:dyDescent="0.2">
      <c r="A63" s="6">
        <v>60</v>
      </c>
      <c r="B63" s="6" t="s">
        <v>248</v>
      </c>
      <c r="C63" s="6" t="s">
        <v>239</v>
      </c>
    </row>
    <row r="64" spans="1:3" ht="12.75" x14ac:dyDescent="0.2">
      <c r="A64" s="6">
        <v>61</v>
      </c>
      <c r="B64" s="6" t="s">
        <v>249</v>
      </c>
      <c r="C64" s="6" t="s">
        <v>239</v>
      </c>
    </row>
    <row r="65" spans="1:3" ht="12.75" x14ac:dyDescent="0.2">
      <c r="A65" s="6">
        <v>62</v>
      </c>
      <c r="B65" s="6" t="s">
        <v>250</v>
      </c>
      <c r="C65" s="6" t="s">
        <v>239</v>
      </c>
    </row>
    <row r="66" spans="1:3" ht="12.75" x14ac:dyDescent="0.2">
      <c r="A66" s="6">
        <v>63</v>
      </c>
      <c r="B66" s="6" t="s">
        <v>251</v>
      </c>
      <c r="C66" s="6" t="s">
        <v>239</v>
      </c>
    </row>
    <row r="67" spans="1:3" ht="12.75" x14ac:dyDescent="0.2">
      <c r="A67" s="6">
        <v>64</v>
      </c>
      <c r="B67" s="6" t="s">
        <v>252</v>
      </c>
      <c r="C67" s="6" t="s">
        <v>239</v>
      </c>
    </row>
    <row r="68" spans="1:3" ht="12.75" x14ac:dyDescent="0.2">
      <c r="A68" s="6">
        <v>65</v>
      </c>
      <c r="B68" s="6" t="s">
        <v>253</v>
      </c>
      <c r="C68" s="6" t="s">
        <v>239</v>
      </c>
    </row>
    <row r="69" spans="1:3" ht="12.75" x14ac:dyDescent="0.2">
      <c r="A69" s="6">
        <v>66</v>
      </c>
      <c r="B69" s="6" t="s">
        <v>254</v>
      </c>
      <c r="C69" s="6" t="s">
        <v>239</v>
      </c>
    </row>
    <row r="70" spans="1:3" ht="12.75" x14ac:dyDescent="0.2">
      <c r="A70" s="6">
        <v>67</v>
      </c>
      <c r="B70" s="6" t="s">
        <v>255</v>
      </c>
      <c r="C70" s="6" t="s">
        <v>239</v>
      </c>
    </row>
    <row r="71" spans="1:3" ht="12.75" x14ac:dyDescent="0.2">
      <c r="A71" s="6">
        <v>68</v>
      </c>
      <c r="B71" s="6" t="s">
        <v>256</v>
      </c>
      <c r="C71" s="6" t="s">
        <v>239</v>
      </c>
    </row>
    <row r="72" spans="1:3" ht="12.75" x14ac:dyDescent="0.2">
      <c r="A72" s="6">
        <v>69</v>
      </c>
      <c r="B72" s="6" t="s">
        <v>257</v>
      </c>
      <c r="C72" s="6" t="s">
        <v>239</v>
      </c>
    </row>
    <row r="73" spans="1:3" ht="12.75" x14ac:dyDescent="0.2">
      <c r="A73" s="6">
        <v>70</v>
      </c>
      <c r="B73" s="6" t="s">
        <v>258</v>
      </c>
      <c r="C73" s="6" t="s">
        <v>239</v>
      </c>
    </row>
    <row r="74" spans="1:3" ht="12.75" x14ac:dyDescent="0.2">
      <c r="A74" s="6">
        <v>71</v>
      </c>
      <c r="B74" s="6" t="s">
        <v>259</v>
      </c>
      <c r="C74" s="6" t="s">
        <v>239</v>
      </c>
    </row>
    <row r="75" spans="1:3" ht="12.75" x14ac:dyDescent="0.2">
      <c r="A75" s="6">
        <v>72</v>
      </c>
      <c r="B75" s="6" t="s">
        <v>260</v>
      </c>
      <c r="C75" s="6" t="s">
        <v>239</v>
      </c>
    </row>
    <row r="76" spans="1:3" ht="12.75" x14ac:dyDescent="0.2">
      <c r="A76" s="6">
        <v>73</v>
      </c>
      <c r="B76" s="6" t="s">
        <v>261</v>
      </c>
      <c r="C76" s="6" t="s">
        <v>239</v>
      </c>
    </row>
    <row r="77" spans="1:3" ht="12.75" x14ac:dyDescent="0.2">
      <c r="A77" s="6">
        <v>74</v>
      </c>
      <c r="B77" s="6" t="s">
        <v>262</v>
      </c>
      <c r="C77" s="6" t="s">
        <v>239</v>
      </c>
    </row>
    <row r="78" spans="1:3" ht="12.75" x14ac:dyDescent="0.2">
      <c r="A78" s="6">
        <v>75</v>
      </c>
      <c r="B78" s="6" t="s">
        <v>263</v>
      </c>
      <c r="C78" s="6" t="s">
        <v>239</v>
      </c>
    </row>
    <row r="79" spans="1:3" ht="12.75" x14ac:dyDescent="0.2">
      <c r="A79" s="6">
        <v>76</v>
      </c>
      <c r="B79" s="6" t="s">
        <v>264</v>
      </c>
      <c r="C79" s="6" t="s">
        <v>239</v>
      </c>
    </row>
    <row r="80" spans="1:3" ht="12.75" x14ac:dyDescent="0.2">
      <c r="A80" s="6">
        <v>77</v>
      </c>
      <c r="B80" s="6" t="s">
        <v>265</v>
      </c>
      <c r="C80" s="6" t="s">
        <v>239</v>
      </c>
    </row>
    <row r="81" spans="1:3" ht="12.75" x14ac:dyDescent="0.2">
      <c r="A81" s="6">
        <v>78</v>
      </c>
      <c r="B81" s="6" t="s">
        <v>266</v>
      </c>
      <c r="C81" s="6" t="s">
        <v>239</v>
      </c>
    </row>
    <row r="82" spans="1:3" ht="12.75" x14ac:dyDescent="0.2">
      <c r="A82" s="6">
        <v>79</v>
      </c>
      <c r="B82" s="6" t="s">
        <v>267</v>
      </c>
      <c r="C82" s="6" t="s">
        <v>239</v>
      </c>
    </row>
    <row r="83" spans="1:3" ht="12.75" x14ac:dyDescent="0.2">
      <c r="A83" s="6">
        <v>80</v>
      </c>
      <c r="B83" s="6" t="s">
        <v>268</v>
      </c>
      <c r="C83" s="6" t="s">
        <v>239</v>
      </c>
    </row>
    <row r="84" spans="1:3" ht="12.75" x14ac:dyDescent="0.2">
      <c r="A84" s="6">
        <v>81</v>
      </c>
      <c r="B84" s="6" t="s">
        <v>269</v>
      </c>
      <c r="C84" s="6" t="s">
        <v>239</v>
      </c>
    </row>
    <row r="85" spans="1:3" ht="12.75" x14ac:dyDescent="0.2">
      <c r="A85" s="6">
        <v>82</v>
      </c>
      <c r="B85" s="6" t="s">
        <v>270</v>
      </c>
      <c r="C85" s="6" t="s">
        <v>239</v>
      </c>
    </row>
    <row r="86" spans="1:3" ht="12.75" x14ac:dyDescent="0.2">
      <c r="A86" s="6">
        <v>83</v>
      </c>
      <c r="B86" s="6" t="s">
        <v>271</v>
      </c>
      <c r="C86" s="6" t="s">
        <v>239</v>
      </c>
    </row>
    <row r="87" spans="1:3" ht="12.75" x14ac:dyDescent="0.2">
      <c r="A87" s="6">
        <v>84</v>
      </c>
      <c r="B87" s="6" t="s">
        <v>272</v>
      </c>
      <c r="C87" s="6" t="s">
        <v>239</v>
      </c>
    </row>
    <row r="88" spans="1:3" ht="12.75" x14ac:dyDescent="0.2">
      <c r="A88" s="6">
        <v>85</v>
      </c>
      <c r="B88" s="6" t="s">
        <v>273</v>
      </c>
      <c r="C88" s="6" t="s">
        <v>239</v>
      </c>
    </row>
    <row r="89" spans="1:3" ht="12.75" x14ac:dyDescent="0.2">
      <c r="A89" s="6">
        <v>86</v>
      </c>
      <c r="B89" s="6" t="s">
        <v>274</v>
      </c>
      <c r="C89" s="6" t="s">
        <v>239</v>
      </c>
    </row>
    <row r="90" spans="1:3" ht="12.75" x14ac:dyDescent="0.2">
      <c r="A90" s="6">
        <v>87</v>
      </c>
      <c r="B90" s="6" t="s">
        <v>275</v>
      </c>
      <c r="C90" s="6" t="s">
        <v>239</v>
      </c>
    </row>
    <row r="91" spans="1:3" ht="12.75" x14ac:dyDescent="0.2">
      <c r="A91" s="6">
        <v>88</v>
      </c>
      <c r="B91" s="6" t="s">
        <v>276</v>
      </c>
      <c r="C91" s="6" t="s">
        <v>239</v>
      </c>
    </row>
    <row r="92" spans="1:3" ht="12.75" x14ac:dyDescent="0.2">
      <c r="A92" s="6">
        <v>89</v>
      </c>
      <c r="B92" s="6" t="s">
        <v>277</v>
      </c>
      <c r="C92" s="6" t="s">
        <v>239</v>
      </c>
    </row>
    <row r="93" spans="1:3" ht="12.75" x14ac:dyDescent="0.2">
      <c r="A93" s="6">
        <v>90</v>
      </c>
      <c r="B93" s="6" t="s">
        <v>278</v>
      </c>
      <c r="C93" s="6" t="s">
        <v>239</v>
      </c>
    </row>
    <row r="94" spans="1:3" ht="12.75" x14ac:dyDescent="0.2">
      <c r="A94" s="6">
        <v>91</v>
      </c>
      <c r="B94" s="6" t="s">
        <v>279</v>
      </c>
      <c r="C94" s="6" t="s">
        <v>239</v>
      </c>
    </row>
    <row r="95" spans="1:3" ht="12.75" x14ac:dyDescent="0.2">
      <c r="A95" s="6">
        <v>92</v>
      </c>
      <c r="B95" s="6" t="s">
        <v>280</v>
      </c>
      <c r="C95" s="6" t="s">
        <v>239</v>
      </c>
    </row>
    <row r="96" spans="1:3" ht="12.75" x14ac:dyDescent="0.2">
      <c r="A96" s="6">
        <v>93</v>
      </c>
      <c r="B96" s="6" t="s">
        <v>281</v>
      </c>
      <c r="C96" s="6" t="s">
        <v>239</v>
      </c>
    </row>
    <row r="97" spans="1:3" ht="12.75" x14ac:dyDescent="0.2">
      <c r="A97" s="6">
        <v>94</v>
      </c>
      <c r="B97" s="6" t="s">
        <v>282</v>
      </c>
      <c r="C97" s="6" t="s">
        <v>239</v>
      </c>
    </row>
    <row r="98" spans="1:3" ht="12.75" x14ac:dyDescent="0.2">
      <c r="A98" s="6">
        <v>95</v>
      </c>
      <c r="B98" s="6" t="s">
        <v>283</v>
      </c>
      <c r="C98" s="6" t="s">
        <v>239</v>
      </c>
    </row>
    <row r="99" spans="1:3" ht="12.75" x14ac:dyDescent="0.2">
      <c r="A99" s="6">
        <v>96</v>
      </c>
      <c r="B99" s="6" t="s">
        <v>284</v>
      </c>
      <c r="C99" s="6" t="s">
        <v>239</v>
      </c>
    </row>
    <row r="100" spans="1:3" ht="12.75" x14ac:dyDescent="0.2">
      <c r="A100" s="6">
        <v>97</v>
      </c>
      <c r="B100" s="6" t="s">
        <v>285</v>
      </c>
      <c r="C100" s="6" t="s">
        <v>239</v>
      </c>
    </row>
    <row r="101" spans="1:3" ht="12.75" x14ac:dyDescent="0.2">
      <c r="A101" s="6">
        <v>98</v>
      </c>
      <c r="B101" s="6" t="s">
        <v>286</v>
      </c>
      <c r="C101" s="6" t="s">
        <v>239</v>
      </c>
    </row>
    <row r="102" spans="1:3" ht="12.75" x14ac:dyDescent="0.2">
      <c r="A102" s="6">
        <v>99</v>
      </c>
      <c r="B102" s="6" t="s">
        <v>287</v>
      </c>
      <c r="C102" s="6" t="s">
        <v>239</v>
      </c>
    </row>
    <row r="103" spans="1:3" ht="12.75" x14ac:dyDescent="0.2">
      <c r="A103" s="6">
        <v>100</v>
      </c>
      <c r="B103" s="6" t="s">
        <v>288</v>
      </c>
      <c r="C103" s="6" t="s">
        <v>239</v>
      </c>
    </row>
    <row r="104" spans="1:3" ht="12.75" x14ac:dyDescent="0.2">
      <c r="A104" s="6">
        <v>101</v>
      </c>
      <c r="B104" s="6" t="s">
        <v>289</v>
      </c>
      <c r="C104" s="6" t="s">
        <v>239</v>
      </c>
    </row>
    <row r="105" spans="1:3" ht="12.75" x14ac:dyDescent="0.2">
      <c r="A105" s="6">
        <v>102</v>
      </c>
      <c r="B105" s="6" t="s">
        <v>290</v>
      </c>
      <c r="C105" s="6" t="s">
        <v>239</v>
      </c>
    </row>
    <row r="106" spans="1:3" ht="12.75" x14ac:dyDescent="0.2">
      <c r="A106" s="6">
        <v>103</v>
      </c>
      <c r="B106" s="6" t="s">
        <v>291</v>
      </c>
      <c r="C106" s="1" t="s">
        <v>292</v>
      </c>
    </row>
    <row r="107" spans="1:3" ht="12.75" x14ac:dyDescent="0.2">
      <c r="A107" s="6">
        <v>104</v>
      </c>
      <c r="B107" s="6" t="s">
        <v>293</v>
      </c>
      <c r="C107" s="6" t="s">
        <v>292</v>
      </c>
    </row>
    <row r="108" spans="1:3" ht="12.75" x14ac:dyDescent="0.2">
      <c r="A108" s="6">
        <v>105</v>
      </c>
      <c r="B108" s="6" t="s">
        <v>189</v>
      </c>
      <c r="C108" s="6" t="s">
        <v>292</v>
      </c>
    </row>
    <row r="109" spans="1:3" ht="12.75" x14ac:dyDescent="0.2">
      <c r="A109" s="6">
        <v>106</v>
      </c>
      <c r="B109" s="6" t="s">
        <v>294</v>
      </c>
      <c r="C109" s="6" t="s">
        <v>292</v>
      </c>
    </row>
    <row r="110" spans="1:3" ht="12.75" x14ac:dyDescent="0.2">
      <c r="A110" s="6">
        <v>107</v>
      </c>
      <c r="B110" s="6" t="s">
        <v>190</v>
      </c>
      <c r="C110" s="6" t="s">
        <v>292</v>
      </c>
    </row>
    <row r="111" spans="1:3" ht="12.75" x14ac:dyDescent="0.2">
      <c r="A111" s="6">
        <v>108</v>
      </c>
      <c r="B111" s="6" t="s">
        <v>295</v>
      </c>
      <c r="C111" s="6" t="s">
        <v>292</v>
      </c>
    </row>
    <row r="112" spans="1:3" ht="12.75" x14ac:dyDescent="0.2">
      <c r="A112" s="6">
        <v>109</v>
      </c>
      <c r="B112" s="6" t="s">
        <v>296</v>
      </c>
      <c r="C112" s="6" t="s">
        <v>292</v>
      </c>
    </row>
    <row r="113" spans="1:3" ht="12.75" x14ac:dyDescent="0.2">
      <c r="A113" s="6">
        <v>110</v>
      </c>
      <c r="B113" s="6" t="s">
        <v>297</v>
      </c>
      <c r="C113" s="6" t="s">
        <v>292</v>
      </c>
    </row>
    <row r="114" spans="1:3" ht="12.75" x14ac:dyDescent="0.2">
      <c r="A114" s="6">
        <v>111</v>
      </c>
      <c r="B114" s="6" t="s">
        <v>298</v>
      </c>
      <c r="C114" s="6" t="s">
        <v>292</v>
      </c>
    </row>
    <row r="115" spans="1:3" ht="12.75" x14ac:dyDescent="0.2">
      <c r="A115" s="6">
        <v>112</v>
      </c>
      <c r="B115" s="6" t="s">
        <v>299</v>
      </c>
      <c r="C115" s="6" t="s">
        <v>292</v>
      </c>
    </row>
    <row r="116" spans="1:3" ht="12.75" x14ac:dyDescent="0.2">
      <c r="A116" s="6">
        <v>113</v>
      </c>
      <c r="B116" s="6" t="s">
        <v>197</v>
      </c>
      <c r="C116" s="6" t="s">
        <v>292</v>
      </c>
    </row>
    <row r="117" spans="1:3" ht="12.75" x14ac:dyDescent="0.2">
      <c r="A117" s="6">
        <v>114</v>
      </c>
      <c r="B117" s="6" t="s">
        <v>300</v>
      </c>
      <c r="C117" s="6" t="s">
        <v>292</v>
      </c>
    </row>
    <row r="118" spans="1:3" ht="12.75" x14ac:dyDescent="0.2">
      <c r="A118" s="6">
        <v>115</v>
      </c>
      <c r="B118" s="6" t="s">
        <v>301</v>
      </c>
      <c r="C118" s="6" t="s">
        <v>292</v>
      </c>
    </row>
    <row r="119" spans="1:3" ht="12.75" x14ac:dyDescent="0.2">
      <c r="A119" s="6">
        <v>116</v>
      </c>
      <c r="B119" s="6" t="s">
        <v>302</v>
      </c>
      <c r="C119" s="6" t="s">
        <v>292</v>
      </c>
    </row>
    <row r="120" spans="1:3" ht="12.75" x14ac:dyDescent="0.2">
      <c r="A120" s="6">
        <v>117</v>
      </c>
      <c r="B120" s="6" t="s">
        <v>303</v>
      </c>
      <c r="C120" s="6" t="s">
        <v>292</v>
      </c>
    </row>
    <row r="121" spans="1:3" ht="12.75" x14ac:dyDescent="0.2">
      <c r="A121" s="6">
        <v>118</v>
      </c>
      <c r="B121" s="6" t="s">
        <v>304</v>
      </c>
      <c r="C121" s="6" t="s">
        <v>292</v>
      </c>
    </row>
    <row r="122" spans="1:3" ht="12.75" x14ac:dyDescent="0.2">
      <c r="A122" s="6">
        <v>119</v>
      </c>
      <c r="B122" s="6" t="s">
        <v>198</v>
      </c>
      <c r="C122" s="6" t="s">
        <v>292</v>
      </c>
    </row>
    <row r="123" spans="1:3" ht="12.75" x14ac:dyDescent="0.2">
      <c r="A123" s="6">
        <v>120</v>
      </c>
      <c r="B123" s="6" t="s">
        <v>305</v>
      </c>
      <c r="C123" s="6" t="s">
        <v>292</v>
      </c>
    </row>
    <row r="124" spans="1:3" ht="12.75" x14ac:dyDescent="0.2">
      <c r="A124" s="6">
        <v>121</v>
      </c>
      <c r="B124" s="6" t="s">
        <v>306</v>
      </c>
      <c r="C124" s="6" t="s">
        <v>292</v>
      </c>
    </row>
    <row r="125" spans="1:3" ht="12.75" x14ac:dyDescent="0.2">
      <c r="A125" s="6">
        <v>122</v>
      </c>
      <c r="B125" s="6" t="s">
        <v>307</v>
      </c>
      <c r="C125" s="6" t="s">
        <v>292</v>
      </c>
    </row>
    <row r="126" spans="1:3" ht="12.75" x14ac:dyDescent="0.2">
      <c r="A126" s="6">
        <v>123</v>
      </c>
      <c r="B126" s="6" t="s">
        <v>308</v>
      </c>
      <c r="C126" s="6" t="s">
        <v>292</v>
      </c>
    </row>
    <row r="127" spans="1:3" ht="12.75" x14ac:dyDescent="0.2">
      <c r="A127" s="6">
        <v>124</v>
      </c>
      <c r="B127" s="6" t="s">
        <v>309</v>
      </c>
      <c r="C127" s="6" t="s">
        <v>292</v>
      </c>
    </row>
    <row r="128" spans="1:3" ht="12.75" x14ac:dyDescent="0.2">
      <c r="A128" s="6">
        <v>125</v>
      </c>
      <c r="B128" s="6" t="s">
        <v>310</v>
      </c>
      <c r="C128" s="6" t="s">
        <v>292</v>
      </c>
    </row>
    <row r="129" spans="1:3" ht="12.75" x14ac:dyDescent="0.2">
      <c r="A129" s="6">
        <v>126</v>
      </c>
      <c r="B129" s="6" t="s">
        <v>206</v>
      </c>
      <c r="C129" s="6" t="s">
        <v>292</v>
      </c>
    </row>
    <row r="130" spans="1:3" ht="12.75" x14ac:dyDescent="0.2">
      <c r="A130" s="6">
        <v>127</v>
      </c>
      <c r="B130" s="6" t="s">
        <v>311</v>
      </c>
      <c r="C130" s="6" t="s">
        <v>292</v>
      </c>
    </row>
    <row r="131" spans="1:3" ht="12.75" x14ac:dyDescent="0.2">
      <c r="A131" s="6">
        <v>128</v>
      </c>
      <c r="B131" s="6" t="s">
        <v>312</v>
      </c>
      <c r="C131" s="6" t="s">
        <v>292</v>
      </c>
    </row>
    <row r="132" spans="1:3" ht="12.75" x14ac:dyDescent="0.2">
      <c r="A132" s="6">
        <v>129</v>
      </c>
      <c r="B132" s="6" t="s">
        <v>313</v>
      </c>
      <c r="C132" s="6" t="s">
        <v>292</v>
      </c>
    </row>
    <row r="133" spans="1:3" ht="12.75" x14ac:dyDescent="0.2">
      <c r="A133" s="6">
        <v>130</v>
      </c>
      <c r="B133" s="6" t="s">
        <v>314</v>
      </c>
      <c r="C133" s="6" t="s">
        <v>292</v>
      </c>
    </row>
    <row r="134" spans="1:3" ht="12.75" x14ac:dyDescent="0.2">
      <c r="A134" s="6">
        <v>131</v>
      </c>
      <c r="B134" s="6" t="s">
        <v>315</v>
      </c>
      <c r="C134" s="6" t="s">
        <v>292</v>
      </c>
    </row>
    <row r="135" spans="1:3" ht="12.75" x14ac:dyDescent="0.2">
      <c r="A135" s="6">
        <v>132</v>
      </c>
      <c r="B135" s="6" t="s">
        <v>316</v>
      </c>
      <c r="C135" s="6" t="s">
        <v>292</v>
      </c>
    </row>
    <row r="136" spans="1:3" ht="12.75" x14ac:dyDescent="0.2">
      <c r="A136" s="6">
        <v>133</v>
      </c>
      <c r="B136" s="6" t="s">
        <v>317</v>
      </c>
      <c r="C136" s="6" t="s">
        <v>292</v>
      </c>
    </row>
    <row r="137" spans="1:3" ht="12.75" x14ac:dyDescent="0.2">
      <c r="A137" s="6">
        <v>134</v>
      </c>
      <c r="B137" s="6" t="s">
        <v>318</v>
      </c>
      <c r="C137" s="6" t="s">
        <v>292</v>
      </c>
    </row>
    <row r="138" spans="1:3" ht="12.75" x14ac:dyDescent="0.2">
      <c r="A138" s="6">
        <v>135</v>
      </c>
      <c r="B138" s="6" t="s">
        <v>319</v>
      </c>
      <c r="C138" s="6" t="s">
        <v>292</v>
      </c>
    </row>
    <row r="139" spans="1:3" ht="12.75" x14ac:dyDescent="0.2">
      <c r="A139" s="6">
        <v>136</v>
      </c>
      <c r="B139" s="6" t="s">
        <v>320</v>
      </c>
      <c r="C139" s="6" t="s">
        <v>292</v>
      </c>
    </row>
    <row r="140" spans="1:3" ht="12.75" x14ac:dyDescent="0.2">
      <c r="A140" s="6">
        <v>137</v>
      </c>
      <c r="B140" s="6" t="s">
        <v>321</v>
      </c>
      <c r="C140" s="6" t="s">
        <v>292</v>
      </c>
    </row>
    <row r="141" spans="1:3" ht="12.75" x14ac:dyDescent="0.2">
      <c r="A141" s="6">
        <v>138</v>
      </c>
      <c r="B141" s="6" t="s">
        <v>322</v>
      </c>
      <c r="C141" s="6" t="s">
        <v>292</v>
      </c>
    </row>
    <row r="142" spans="1:3" ht="12.75" x14ac:dyDescent="0.2">
      <c r="A142" s="6">
        <v>139</v>
      </c>
      <c r="B142" s="6" t="s">
        <v>323</v>
      </c>
      <c r="C142" s="6" t="s">
        <v>292</v>
      </c>
    </row>
    <row r="143" spans="1:3" ht="12.75" x14ac:dyDescent="0.2">
      <c r="A143" s="6">
        <v>140</v>
      </c>
      <c r="B143" s="6" t="s">
        <v>324</v>
      </c>
      <c r="C143" s="6" t="s">
        <v>292</v>
      </c>
    </row>
    <row r="144" spans="1:3" ht="12.75" x14ac:dyDescent="0.2">
      <c r="A144" s="6">
        <v>141</v>
      </c>
      <c r="B144" s="6" t="s">
        <v>325</v>
      </c>
      <c r="C144" s="6" t="s">
        <v>292</v>
      </c>
    </row>
    <row r="145" spans="1:3" ht="12.75" x14ac:dyDescent="0.2">
      <c r="A145" s="6">
        <v>142</v>
      </c>
      <c r="B145" s="6" t="s">
        <v>222</v>
      </c>
      <c r="C145" s="6" t="s">
        <v>292</v>
      </c>
    </row>
    <row r="146" spans="1:3" ht="12.75" x14ac:dyDescent="0.2">
      <c r="A146" s="6">
        <v>143</v>
      </c>
      <c r="B146" s="6" t="s">
        <v>326</v>
      </c>
      <c r="C146" s="6" t="s">
        <v>292</v>
      </c>
    </row>
    <row r="147" spans="1:3" ht="12.75" x14ac:dyDescent="0.2">
      <c r="A147" s="6">
        <v>144</v>
      </c>
      <c r="B147" s="6" t="s">
        <v>327</v>
      </c>
      <c r="C147" s="6" t="s">
        <v>292</v>
      </c>
    </row>
    <row r="148" spans="1:3" ht="12.75" x14ac:dyDescent="0.2">
      <c r="A148" s="6">
        <v>145</v>
      </c>
      <c r="B148" s="6" t="s">
        <v>328</v>
      </c>
      <c r="C148" s="6" t="s">
        <v>292</v>
      </c>
    </row>
    <row r="149" spans="1:3" ht="12.75" x14ac:dyDescent="0.2">
      <c r="A149" s="6">
        <v>146</v>
      </c>
      <c r="B149" s="6" t="s">
        <v>329</v>
      </c>
      <c r="C149" s="6" t="s">
        <v>292</v>
      </c>
    </row>
    <row r="150" spans="1:3" ht="12.75" x14ac:dyDescent="0.2">
      <c r="A150" s="6">
        <v>147</v>
      </c>
      <c r="B150" s="6" t="s">
        <v>330</v>
      </c>
      <c r="C150" s="6" t="s">
        <v>292</v>
      </c>
    </row>
    <row r="151" spans="1:3" ht="12.75" x14ac:dyDescent="0.2">
      <c r="A151" s="6">
        <v>148</v>
      </c>
      <c r="B151" s="6" t="s">
        <v>331</v>
      </c>
      <c r="C151" s="6" t="s">
        <v>292</v>
      </c>
    </row>
    <row r="152" spans="1:3" ht="12.75" x14ac:dyDescent="0.2">
      <c r="A152" s="6">
        <v>149</v>
      </c>
      <c r="B152" s="6" t="s">
        <v>332</v>
      </c>
      <c r="C152" s="6" t="s">
        <v>292</v>
      </c>
    </row>
    <row r="153" spans="1:3" ht="12.75" x14ac:dyDescent="0.2">
      <c r="A153" s="6">
        <v>150</v>
      </c>
      <c r="B153" s="6" t="s">
        <v>232</v>
      </c>
      <c r="C153" s="6" t="s">
        <v>292</v>
      </c>
    </row>
    <row r="154" spans="1:3" ht="12.75" x14ac:dyDescent="0.2">
      <c r="A154" s="6">
        <v>151</v>
      </c>
      <c r="B154" s="6" t="s">
        <v>333</v>
      </c>
      <c r="C154" s="6" t="s">
        <v>292</v>
      </c>
    </row>
    <row r="155" spans="1:3" ht="12.75" x14ac:dyDescent="0.2">
      <c r="A155" s="6">
        <v>152</v>
      </c>
      <c r="B155" s="6" t="s">
        <v>334</v>
      </c>
      <c r="C155" s="6" t="s">
        <v>292</v>
      </c>
    </row>
    <row r="156" spans="1:3" ht="12.75" x14ac:dyDescent="0.2">
      <c r="A156" s="6">
        <v>153</v>
      </c>
      <c r="B156" s="6" t="s">
        <v>335</v>
      </c>
      <c r="C156" s="6" t="s">
        <v>292</v>
      </c>
    </row>
    <row r="157" spans="1:3" ht="12.75" x14ac:dyDescent="0.2">
      <c r="A157" s="6">
        <v>154</v>
      </c>
      <c r="B157" s="6" t="s">
        <v>336</v>
      </c>
      <c r="C157" s="1" t="s">
        <v>337</v>
      </c>
    </row>
    <row r="158" spans="1:3" ht="12.75" x14ac:dyDescent="0.2">
      <c r="A158" s="6">
        <v>155</v>
      </c>
      <c r="B158" s="6" t="s">
        <v>338</v>
      </c>
      <c r="C158" s="6" t="s">
        <v>337</v>
      </c>
    </row>
    <row r="159" spans="1:3" ht="12.75" x14ac:dyDescent="0.2">
      <c r="A159" s="6">
        <v>156</v>
      </c>
      <c r="B159" s="6" t="s">
        <v>339</v>
      </c>
      <c r="C159" s="6" t="s">
        <v>337</v>
      </c>
    </row>
    <row r="160" spans="1:3" ht="12.75" x14ac:dyDescent="0.2">
      <c r="A160" s="6">
        <v>157</v>
      </c>
      <c r="B160" s="6" t="s">
        <v>340</v>
      </c>
      <c r="C160" s="6" t="s">
        <v>337</v>
      </c>
    </row>
    <row r="161" spans="1:3" ht="12.75" x14ac:dyDescent="0.2">
      <c r="A161" s="6">
        <v>158</v>
      </c>
      <c r="B161" s="6" t="s">
        <v>341</v>
      </c>
      <c r="C161" s="6" t="s">
        <v>337</v>
      </c>
    </row>
    <row r="162" spans="1:3" ht="12.75" x14ac:dyDescent="0.2">
      <c r="A162" s="6">
        <v>159</v>
      </c>
      <c r="B162" s="6" t="s">
        <v>342</v>
      </c>
      <c r="C162" s="6" t="s">
        <v>337</v>
      </c>
    </row>
    <row r="163" spans="1:3" ht="12.75" x14ac:dyDescent="0.2">
      <c r="A163" s="6">
        <v>160</v>
      </c>
      <c r="B163" s="6" t="s">
        <v>343</v>
      </c>
      <c r="C163" s="6" t="s">
        <v>337</v>
      </c>
    </row>
    <row r="164" spans="1:3" ht="12.75" x14ac:dyDescent="0.2">
      <c r="A164" s="6">
        <v>161</v>
      </c>
      <c r="B164" s="6" t="s">
        <v>344</v>
      </c>
      <c r="C164" s="6" t="s">
        <v>337</v>
      </c>
    </row>
    <row r="165" spans="1:3" ht="12.75" x14ac:dyDescent="0.2">
      <c r="A165" s="6">
        <v>162</v>
      </c>
      <c r="B165" s="6" t="s">
        <v>345</v>
      </c>
      <c r="C165" s="6" t="s">
        <v>337</v>
      </c>
    </row>
    <row r="166" spans="1:3" ht="12.75" x14ac:dyDescent="0.2">
      <c r="A166" s="6">
        <v>163</v>
      </c>
      <c r="B166" s="6" t="s">
        <v>346</v>
      </c>
      <c r="C166" s="6" t="s">
        <v>337</v>
      </c>
    </row>
    <row r="167" spans="1:3" ht="12.75" x14ac:dyDescent="0.2">
      <c r="A167" s="6">
        <v>164</v>
      </c>
      <c r="B167" s="6" t="s">
        <v>347</v>
      </c>
      <c r="C167" s="6" t="s">
        <v>337</v>
      </c>
    </row>
    <row r="168" spans="1:3" ht="12.75" x14ac:dyDescent="0.2">
      <c r="A168" s="6">
        <v>165</v>
      </c>
      <c r="B168" s="6" t="s">
        <v>348</v>
      </c>
      <c r="C168" s="6" t="s">
        <v>337</v>
      </c>
    </row>
    <row r="169" spans="1:3" ht="12.75" x14ac:dyDescent="0.2">
      <c r="A169" s="6">
        <v>166</v>
      </c>
      <c r="B169" s="6" t="s">
        <v>349</v>
      </c>
      <c r="C169" s="6" t="s">
        <v>337</v>
      </c>
    </row>
    <row r="170" spans="1:3" ht="12.75" x14ac:dyDescent="0.2">
      <c r="A170" s="6">
        <v>167</v>
      </c>
      <c r="B170" s="6" t="s">
        <v>350</v>
      </c>
      <c r="C170" s="6" t="s">
        <v>337</v>
      </c>
    </row>
    <row r="171" spans="1:3" ht="12.75" x14ac:dyDescent="0.2">
      <c r="A171" s="6">
        <v>168</v>
      </c>
      <c r="B171" s="6" t="s">
        <v>351</v>
      </c>
      <c r="C171" s="6" t="s">
        <v>337</v>
      </c>
    </row>
    <row r="172" spans="1:3" ht="12.75" x14ac:dyDescent="0.2">
      <c r="A172" s="6">
        <v>169</v>
      </c>
      <c r="B172" s="6" t="s">
        <v>352</v>
      </c>
      <c r="C172" s="6" t="s">
        <v>337</v>
      </c>
    </row>
    <row r="173" spans="1:3" ht="12.75" x14ac:dyDescent="0.2">
      <c r="A173" s="6">
        <v>170</v>
      </c>
      <c r="B173" s="6" t="s">
        <v>353</v>
      </c>
      <c r="C173" s="6" t="s">
        <v>337</v>
      </c>
    </row>
    <row r="174" spans="1:3" ht="12.75" x14ac:dyDescent="0.2">
      <c r="A174" s="6">
        <v>171</v>
      </c>
      <c r="B174" s="6" t="s">
        <v>354</v>
      </c>
      <c r="C174" s="6" t="s">
        <v>337</v>
      </c>
    </row>
    <row r="175" spans="1:3" ht="12.75" x14ac:dyDescent="0.2">
      <c r="A175" s="6">
        <v>172</v>
      </c>
      <c r="B175" s="6" t="s">
        <v>355</v>
      </c>
      <c r="C175" s="6" t="s">
        <v>337</v>
      </c>
    </row>
    <row r="176" spans="1:3" ht="12.75" x14ac:dyDescent="0.2">
      <c r="A176" s="6">
        <v>173</v>
      </c>
      <c r="B176" s="6" t="s">
        <v>356</v>
      </c>
      <c r="C176" s="6" t="s">
        <v>337</v>
      </c>
    </row>
    <row r="177" spans="1:3" ht="12.75" x14ac:dyDescent="0.2">
      <c r="A177" s="6">
        <v>174</v>
      </c>
      <c r="B177" s="6" t="s">
        <v>357</v>
      </c>
      <c r="C177" s="6" t="s">
        <v>337</v>
      </c>
    </row>
    <row r="178" spans="1:3" ht="12.75" x14ac:dyDescent="0.2">
      <c r="A178" s="6">
        <v>175</v>
      </c>
      <c r="B178" s="6" t="s">
        <v>358</v>
      </c>
      <c r="C178" s="6" t="s">
        <v>337</v>
      </c>
    </row>
    <row r="179" spans="1:3" ht="12.75" x14ac:dyDescent="0.2">
      <c r="A179" s="6">
        <v>176</v>
      </c>
      <c r="B179" s="6" t="s">
        <v>359</v>
      </c>
      <c r="C179" s="6" t="s">
        <v>337</v>
      </c>
    </row>
    <row r="180" spans="1:3" ht="12.75" x14ac:dyDescent="0.2">
      <c r="A180" s="6">
        <v>177</v>
      </c>
      <c r="B180" s="6" t="s">
        <v>360</v>
      </c>
      <c r="C180" s="1" t="s">
        <v>361</v>
      </c>
    </row>
    <row r="181" spans="1:3" ht="12.75" x14ac:dyDescent="0.2">
      <c r="A181" s="6">
        <v>178</v>
      </c>
      <c r="B181" s="6" t="s">
        <v>362</v>
      </c>
      <c r="C181" s="6" t="s">
        <v>361</v>
      </c>
    </row>
    <row r="182" spans="1:3" ht="12.75" x14ac:dyDescent="0.2">
      <c r="A182" s="6">
        <v>179</v>
      </c>
      <c r="B182" s="6" t="s">
        <v>363</v>
      </c>
      <c r="C182" s="6" t="s">
        <v>361</v>
      </c>
    </row>
    <row r="183" spans="1:3" ht="12.75" x14ac:dyDescent="0.2">
      <c r="A183" s="6">
        <v>180</v>
      </c>
      <c r="B183" s="6" t="s">
        <v>364</v>
      </c>
      <c r="C183" s="6" t="s">
        <v>361</v>
      </c>
    </row>
    <row r="184" spans="1:3" ht="12.75" x14ac:dyDescent="0.2">
      <c r="A184" s="6">
        <v>181</v>
      </c>
      <c r="B184" s="6" t="s">
        <v>365</v>
      </c>
      <c r="C184" s="6" t="s">
        <v>361</v>
      </c>
    </row>
    <row r="185" spans="1:3" ht="12.75" x14ac:dyDescent="0.2">
      <c r="A185" s="6">
        <v>182</v>
      </c>
      <c r="B185" s="6" t="s">
        <v>366</v>
      </c>
      <c r="C185" s="6" t="s">
        <v>361</v>
      </c>
    </row>
    <row r="186" spans="1:3" ht="12.75" x14ac:dyDescent="0.2">
      <c r="A186" s="6">
        <v>183</v>
      </c>
      <c r="B186" s="6" t="s">
        <v>367</v>
      </c>
      <c r="C186" s="6" t="s">
        <v>361</v>
      </c>
    </row>
    <row r="187" spans="1:3" ht="12.75" x14ac:dyDescent="0.2">
      <c r="A187" s="6">
        <v>184</v>
      </c>
      <c r="B187" s="6" t="s">
        <v>368</v>
      </c>
      <c r="C187" s="6" t="s">
        <v>361</v>
      </c>
    </row>
    <row r="188" spans="1:3" ht="12.75" x14ac:dyDescent="0.2">
      <c r="A188" s="6">
        <v>185</v>
      </c>
      <c r="B188" s="6" t="s">
        <v>369</v>
      </c>
      <c r="C188" s="6" t="s">
        <v>361</v>
      </c>
    </row>
    <row r="189" spans="1:3" ht="12.75" x14ac:dyDescent="0.2">
      <c r="A189" s="6">
        <v>186</v>
      </c>
      <c r="B189" s="6" t="s">
        <v>370</v>
      </c>
      <c r="C189" s="6" t="s">
        <v>361</v>
      </c>
    </row>
    <row r="190" spans="1:3" ht="12.75" x14ac:dyDescent="0.2">
      <c r="A190" s="6">
        <v>187</v>
      </c>
      <c r="B190" s="6" t="s">
        <v>371</v>
      </c>
      <c r="C190" s="6" t="s">
        <v>361</v>
      </c>
    </row>
    <row r="191" spans="1:3" ht="12.75" x14ac:dyDescent="0.2">
      <c r="A191" s="6">
        <v>188</v>
      </c>
      <c r="B191" s="6" t="s">
        <v>372</v>
      </c>
      <c r="C191" s="6" t="s">
        <v>361</v>
      </c>
    </row>
    <row r="192" spans="1:3" ht="12.75" x14ac:dyDescent="0.2">
      <c r="A192" s="6">
        <v>189</v>
      </c>
      <c r="B192" s="6" t="s">
        <v>373</v>
      </c>
      <c r="C192" s="6" t="s">
        <v>361</v>
      </c>
    </row>
    <row r="193" spans="1:3" ht="12.75" x14ac:dyDescent="0.2">
      <c r="A193" s="6">
        <v>190</v>
      </c>
      <c r="B193" s="6" t="s">
        <v>374</v>
      </c>
      <c r="C193" s="6" t="s">
        <v>361</v>
      </c>
    </row>
    <row r="194" spans="1:3" ht="12.75" x14ac:dyDescent="0.2">
      <c r="A194" s="6">
        <v>191</v>
      </c>
      <c r="B194" s="6" t="s">
        <v>375</v>
      </c>
      <c r="C194" s="1" t="s">
        <v>376</v>
      </c>
    </row>
    <row r="195" spans="1:3" ht="12.75" x14ac:dyDescent="0.2">
      <c r="A195" s="6">
        <v>192</v>
      </c>
      <c r="B195" s="6" t="s">
        <v>377</v>
      </c>
      <c r="C195" s="6" t="s">
        <v>376</v>
      </c>
    </row>
    <row r="196" spans="1:3" ht="12.75" x14ac:dyDescent="0.2">
      <c r="A196" s="6">
        <v>193</v>
      </c>
      <c r="B196" s="6" t="s">
        <v>378</v>
      </c>
      <c r="C196" s="6" t="s">
        <v>376</v>
      </c>
    </row>
    <row r="197" spans="1:3" ht="12.75" x14ac:dyDescent="0.2">
      <c r="A197" s="6">
        <v>194</v>
      </c>
      <c r="B197" s="6" t="s">
        <v>379</v>
      </c>
      <c r="C197" s="6" t="s">
        <v>376</v>
      </c>
    </row>
    <row r="198" spans="1:3" ht="12.75" x14ac:dyDescent="0.2">
      <c r="A198" s="6">
        <v>195</v>
      </c>
      <c r="B198" s="6" t="s">
        <v>380</v>
      </c>
      <c r="C198" s="6" t="s">
        <v>376</v>
      </c>
    </row>
    <row r="199" spans="1:3" ht="12.75" x14ac:dyDescent="0.2">
      <c r="A199" s="6">
        <v>196</v>
      </c>
      <c r="B199" s="6" t="s">
        <v>381</v>
      </c>
      <c r="C199" s="6" t="s">
        <v>376</v>
      </c>
    </row>
    <row r="200" spans="1:3" ht="12.75" x14ac:dyDescent="0.2">
      <c r="A200" s="6">
        <v>197</v>
      </c>
      <c r="B200" s="6" t="s">
        <v>382</v>
      </c>
      <c r="C200" s="6" t="s">
        <v>376</v>
      </c>
    </row>
    <row r="201" spans="1:3" ht="12.75" x14ac:dyDescent="0.2">
      <c r="A201" s="6">
        <v>198</v>
      </c>
      <c r="B201" s="6" t="s">
        <v>383</v>
      </c>
      <c r="C201" s="6" t="s">
        <v>376</v>
      </c>
    </row>
    <row r="202" spans="1:3" ht="12.75" x14ac:dyDescent="0.2">
      <c r="A202" s="6">
        <v>199</v>
      </c>
      <c r="B202" s="6" t="s">
        <v>384</v>
      </c>
      <c r="C202" s="6" t="s">
        <v>376</v>
      </c>
    </row>
    <row r="203" spans="1:3" ht="12.75" x14ac:dyDescent="0.2">
      <c r="A203" s="6">
        <v>200</v>
      </c>
      <c r="B203" s="6" t="s">
        <v>385</v>
      </c>
      <c r="C203" s="6" t="s">
        <v>376</v>
      </c>
    </row>
    <row r="204" spans="1:3" ht="12.75" x14ac:dyDescent="0.2">
      <c r="A204" s="6">
        <v>201</v>
      </c>
      <c r="B204" s="6" t="s">
        <v>386</v>
      </c>
      <c r="C204" s="6" t="s">
        <v>376</v>
      </c>
    </row>
    <row r="205" spans="1:3" ht="12.75" x14ac:dyDescent="0.2">
      <c r="A205" s="6">
        <v>202</v>
      </c>
      <c r="B205" s="6" t="s">
        <v>387</v>
      </c>
      <c r="C205" s="6" t="s">
        <v>376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701"/>
  <sheetViews>
    <sheetView topLeftCell="A4" workbookViewId="0">
      <selection activeCell="H163" sqref="H163"/>
    </sheetView>
  </sheetViews>
  <sheetFormatPr defaultColWidth="14.42578125" defaultRowHeight="15.75" customHeight="1" x14ac:dyDescent="0.2"/>
  <sheetData>
    <row r="1" spans="1:10" ht="15.75" customHeight="1" x14ac:dyDescent="0.2">
      <c r="A1" s="7" t="s">
        <v>1</v>
      </c>
      <c r="B1" s="7" t="s">
        <v>2</v>
      </c>
      <c r="C1" s="7" t="s">
        <v>3</v>
      </c>
      <c r="D1" s="7" t="s">
        <v>4</v>
      </c>
      <c r="E1" s="7" t="s">
        <v>5</v>
      </c>
      <c r="F1" s="7" t="s">
        <v>6</v>
      </c>
      <c r="G1" s="7" t="s">
        <v>7</v>
      </c>
      <c r="H1" s="7" t="s">
        <v>8</v>
      </c>
      <c r="I1" s="7" t="s">
        <v>9</v>
      </c>
      <c r="J1" s="7" t="s">
        <v>10</v>
      </c>
    </row>
    <row r="2" spans="1:10" ht="15.75" customHeight="1" x14ac:dyDescent="0.2">
      <c r="A2" s="7" t="s">
        <v>11</v>
      </c>
      <c r="B2" s="7" t="s">
        <v>12</v>
      </c>
      <c r="C2" s="8">
        <v>1618.5</v>
      </c>
      <c r="D2" s="9">
        <v>3</v>
      </c>
      <c r="E2" s="8">
        <v>20</v>
      </c>
      <c r="F2" s="10">
        <v>32370</v>
      </c>
      <c r="G2" s="10">
        <v>0</v>
      </c>
      <c r="H2" s="10">
        <v>32370</v>
      </c>
      <c r="I2" s="11">
        <v>16185</v>
      </c>
      <c r="J2" s="12">
        <v>41640</v>
      </c>
    </row>
    <row r="3" spans="1:10" ht="15.75" customHeight="1" x14ac:dyDescent="0.2">
      <c r="A3" s="7" t="s">
        <v>13</v>
      </c>
      <c r="B3" s="7" t="s">
        <v>12</v>
      </c>
      <c r="C3" s="8">
        <v>1321</v>
      </c>
      <c r="D3" s="9">
        <v>3</v>
      </c>
      <c r="E3" s="8">
        <v>20</v>
      </c>
      <c r="F3" s="10">
        <v>26420</v>
      </c>
      <c r="G3" s="10">
        <v>0</v>
      </c>
      <c r="H3" s="10">
        <v>26420</v>
      </c>
      <c r="I3" s="11">
        <v>13210</v>
      </c>
      <c r="J3" s="12">
        <v>41640</v>
      </c>
    </row>
    <row r="4" spans="1:10" ht="15.75" customHeight="1" x14ac:dyDescent="0.2">
      <c r="A4" s="7" t="s">
        <v>14</v>
      </c>
      <c r="B4" s="7" t="s">
        <v>12</v>
      </c>
      <c r="C4" s="8">
        <v>2178</v>
      </c>
      <c r="D4" s="9">
        <v>3</v>
      </c>
      <c r="E4" s="8">
        <v>15</v>
      </c>
      <c r="F4" s="10">
        <v>32670</v>
      </c>
      <c r="G4" s="10">
        <v>0</v>
      </c>
      <c r="H4" s="10">
        <v>32670</v>
      </c>
      <c r="I4" s="11">
        <v>21780</v>
      </c>
      <c r="J4" s="12">
        <v>41645</v>
      </c>
    </row>
    <row r="5" spans="1:10" ht="15.75" customHeight="1" x14ac:dyDescent="0.2">
      <c r="A5" s="7" t="s">
        <v>15</v>
      </c>
      <c r="B5" s="7" t="s">
        <v>12</v>
      </c>
      <c r="C5" s="8">
        <v>888</v>
      </c>
      <c r="D5" s="9">
        <v>3</v>
      </c>
      <c r="E5" s="8">
        <v>15</v>
      </c>
      <c r="F5" s="10">
        <v>13320</v>
      </c>
      <c r="G5" s="10">
        <v>0</v>
      </c>
      <c r="H5" s="10">
        <v>13320</v>
      </c>
      <c r="I5" s="11">
        <v>8880</v>
      </c>
      <c r="J5" s="12">
        <v>41645</v>
      </c>
    </row>
    <row r="6" spans="1:10" ht="15.75" customHeight="1" x14ac:dyDescent="0.2">
      <c r="A6" s="7" t="s">
        <v>16</v>
      </c>
      <c r="B6" s="7" t="s">
        <v>12</v>
      </c>
      <c r="C6" s="8">
        <v>2470</v>
      </c>
      <c r="D6" s="9">
        <v>3</v>
      </c>
      <c r="E6" s="8">
        <v>15</v>
      </c>
      <c r="F6" s="10">
        <v>37050</v>
      </c>
      <c r="G6" s="10">
        <v>0</v>
      </c>
      <c r="H6" s="10">
        <v>37050</v>
      </c>
      <c r="I6" s="11">
        <v>24700</v>
      </c>
      <c r="J6" s="12">
        <v>41645</v>
      </c>
    </row>
    <row r="7" spans="1:10" ht="15.75" customHeight="1" x14ac:dyDescent="0.2">
      <c r="A7" s="7" t="s">
        <v>13</v>
      </c>
      <c r="B7" s="7" t="s">
        <v>12</v>
      </c>
      <c r="C7" s="8">
        <v>1513</v>
      </c>
      <c r="D7" s="9">
        <v>3</v>
      </c>
      <c r="E7" s="8">
        <v>350</v>
      </c>
      <c r="F7" s="10">
        <v>529550</v>
      </c>
      <c r="G7" s="10">
        <v>0</v>
      </c>
      <c r="H7" s="10">
        <v>529550</v>
      </c>
      <c r="I7" s="11">
        <v>393380</v>
      </c>
      <c r="J7" s="12">
        <v>41651</v>
      </c>
    </row>
    <row r="8" spans="1:10" ht="15.75" customHeight="1" x14ac:dyDescent="0.2">
      <c r="A8" s="7" t="s">
        <v>17</v>
      </c>
      <c r="B8" s="7" t="s">
        <v>12</v>
      </c>
      <c r="C8" s="8">
        <v>921</v>
      </c>
      <c r="D8" s="9">
        <v>5</v>
      </c>
      <c r="E8" s="8">
        <v>15</v>
      </c>
      <c r="F8" s="10">
        <v>13815</v>
      </c>
      <c r="G8" s="10">
        <v>0</v>
      </c>
      <c r="H8" s="10">
        <v>13815</v>
      </c>
      <c r="I8" s="11">
        <v>9210</v>
      </c>
      <c r="J8" s="12">
        <v>41642</v>
      </c>
    </row>
    <row r="9" spans="1:10" ht="15.75" customHeight="1" x14ac:dyDescent="0.2">
      <c r="A9" s="7" t="s">
        <v>18</v>
      </c>
      <c r="B9" s="7" t="s">
        <v>12</v>
      </c>
      <c r="C9" s="8">
        <v>2518</v>
      </c>
      <c r="D9" s="9">
        <v>5</v>
      </c>
      <c r="E9" s="8">
        <v>12</v>
      </c>
      <c r="F9" s="10">
        <v>30216</v>
      </c>
      <c r="G9" s="10">
        <v>0</v>
      </c>
      <c r="H9" s="10">
        <v>30216</v>
      </c>
      <c r="I9" s="11">
        <v>7554</v>
      </c>
      <c r="J9" s="12">
        <v>41645</v>
      </c>
    </row>
    <row r="10" spans="1:10" ht="15.75" customHeight="1" x14ac:dyDescent="0.2">
      <c r="A10" s="7" t="s">
        <v>19</v>
      </c>
      <c r="B10" s="7" t="s">
        <v>12</v>
      </c>
      <c r="C10" s="8">
        <v>1899</v>
      </c>
      <c r="D10" s="9">
        <v>5</v>
      </c>
      <c r="E10" s="8">
        <v>20</v>
      </c>
      <c r="F10" s="10">
        <v>37980</v>
      </c>
      <c r="G10" s="10">
        <v>0</v>
      </c>
      <c r="H10" s="10">
        <v>37980</v>
      </c>
      <c r="I10" s="11">
        <v>18990</v>
      </c>
      <c r="J10" s="12">
        <v>41645</v>
      </c>
    </row>
    <row r="11" spans="1:10" ht="15.75" customHeight="1" x14ac:dyDescent="0.2">
      <c r="A11" s="7" t="s">
        <v>20</v>
      </c>
      <c r="B11" s="7" t="s">
        <v>12</v>
      </c>
      <c r="C11" s="8">
        <v>1545</v>
      </c>
      <c r="D11" s="9">
        <v>5</v>
      </c>
      <c r="E11" s="8">
        <v>12</v>
      </c>
      <c r="F11" s="10">
        <v>18540</v>
      </c>
      <c r="G11" s="10">
        <v>0</v>
      </c>
      <c r="H11" s="10">
        <v>18540</v>
      </c>
      <c r="I11" s="11">
        <v>4635</v>
      </c>
      <c r="J11" s="12">
        <v>41645</v>
      </c>
    </row>
    <row r="12" spans="1:10" ht="15.75" customHeight="1" x14ac:dyDescent="0.2">
      <c r="A12" s="7" t="s">
        <v>21</v>
      </c>
      <c r="B12" s="7" t="s">
        <v>12</v>
      </c>
      <c r="C12" s="8">
        <v>2470</v>
      </c>
      <c r="D12" s="9">
        <v>5</v>
      </c>
      <c r="E12" s="8">
        <v>15</v>
      </c>
      <c r="F12" s="10">
        <v>37050</v>
      </c>
      <c r="G12" s="10">
        <v>0</v>
      </c>
      <c r="H12" s="10">
        <v>37050</v>
      </c>
      <c r="I12" s="11">
        <v>24700</v>
      </c>
      <c r="J12" s="12">
        <v>41645</v>
      </c>
    </row>
    <row r="13" spans="1:10" ht="15.75" customHeight="1" x14ac:dyDescent="0.2">
      <c r="A13" s="7" t="s">
        <v>22</v>
      </c>
      <c r="B13" s="7" t="s">
        <v>12</v>
      </c>
      <c r="C13" s="8">
        <v>2665.5</v>
      </c>
      <c r="D13" s="9">
        <v>5</v>
      </c>
      <c r="E13" s="8">
        <v>125</v>
      </c>
      <c r="F13" s="10">
        <v>333187.5</v>
      </c>
      <c r="G13" s="10">
        <v>0</v>
      </c>
      <c r="H13" s="10">
        <v>333187.5</v>
      </c>
      <c r="I13" s="11">
        <v>319860</v>
      </c>
      <c r="J13" s="12">
        <v>41646</v>
      </c>
    </row>
    <row r="14" spans="1:10" ht="15.75" customHeight="1" x14ac:dyDescent="0.2">
      <c r="A14" s="7" t="s">
        <v>23</v>
      </c>
      <c r="B14" s="7" t="s">
        <v>12</v>
      </c>
      <c r="C14" s="8">
        <v>958</v>
      </c>
      <c r="D14" s="9">
        <v>5</v>
      </c>
      <c r="E14" s="8">
        <v>300</v>
      </c>
      <c r="F14" s="10">
        <v>287400</v>
      </c>
      <c r="G14" s="10">
        <v>0</v>
      </c>
      <c r="H14" s="10">
        <v>287400</v>
      </c>
      <c r="I14" s="11">
        <v>239500</v>
      </c>
      <c r="J14" s="12">
        <v>41647</v>
      </c>
    </row>
    <row r="15" spans="1:10" ht="15.75" customHeight="1" x14ac:dyDescent="0.2">
      <c r="A15" s="7" t="s">
        <v>24</v>
      </c>
      <c r="B15" s="7" t="s">
        <v>12</v>
      </c>
      <c r="C15" s="8">
        <v>2146</v>
      </c>
      <c r="D15" s="9">
        <v>5</v>
      </c>
      <c r="E15" s="8">
        <v>7</v>
      </c>
      <c r="F15" s="10">
        <v>15022</v>
      </c>
      <c r="G15" s="10">
        <v>0</v>
      </c>
      <c r="H15" s="10">
        <v>15022</v>
      </c>
      <c r="I15" s="11">
        <v>10730</v>
      </c>
      <c r="J15" s="12">
        <v>41648</v>
      </c>
    </row>
    <row r="16" spans="1:10" ht="15.75" customHeight="1" x14ac:dyDescent="0.2">
      <c r="A16" s="7" t="s">
        <v>22</v>
      </c>
      <c r="B16" s="7" t="s">
        <v>12</v>
      </c>
      <c r="C16" s="8">
        <v>345</v>
      </c>
      <c r="D16" s="9">
        <v>5</v>
      </c>
      <c r="E16" s="8">
        <v>125</v>
      </c>
      <c r="F16" s="10">
        <v>43125</v>
      </c>
      <c r="G16" s="10">
        <v>0</v>
      </c>
      <c r="H16" s="10">
        <v>43125</v>
      </c>
      <c r="I16" s="11">
        <v>41400</v>
      </c>
      <c r="J16" s="12">
        <v>41284</v>
      </c>
    </row>
    <row r="17" spans="1:10" ht="15.75" customHeight="1" x14ac:dyDescent="0.2">
      <c r="A17" s="7" t="s">
        <v>25</v>
      </c>
      <c r="B17" s="7" t="s">
        <v>12</v>
      </c>
      <c r="C17" s="8">
        <v>615</v>
      </c>
      <c r="D17" s="9">
        <v>5</v>
      </c>
      <c r="E17" s="8">
        <v>15</v>
      </c>
      <c r="F17" s="10">
        <v>9225</v>
      </c>
      <c r="G17" s="10">
        <v>0</v>
      </c>
      <c r="H17" s="10">
        <v>9225</v>
      </c>
      <c r="I17" s="11">
        <v>6150</v>
      </c>
      <c r="J17" s="12">
        <v>41651</v>
      </c>
    </row>
    <row r="18" spans="1:10" ht="15.75" customHeight="1" x14ac:dyDescent="0.2">
      <c r="A18" s="7" t="s">
        <v>26</v>
      </c>
      <c r="B18" s="7" t="s">
        <v>12</v>
      </c>
      <c r="C18" s="8">
        <v>292</v>
      </c>
      <c r="D18" s="9">
        <v>10</v>
      </c>
      <c r="E18" s="8">
        <v>20</v>
      </c>
      <c r="F18" s="10">
        <v>5840</v>
      </c>
      <c r="G18" s="10">
        <v>0</v>
      </c>
      <c r="H18" s="10">
        <v>5840</v>
      </c>
      <c r="I18" s="11">
        <v>2920</v>
      </c>
      <c r="J18" s="12">
        <v>41641</v>
      </c>
    </row>
    <row r="19" spans="1:10" ht="15.75" customHeight="1" x14ac:dyDescent="0.2">
      <c r="A19" s="7" t="s">
        <v>27</v>
      </c>
      <c r="B19" s="7" t="s">
        <v>12</v>
      </c>
      <c r="C19" s="8">
        <v>974</v>
      </c>
      <c r="D19" s="9">
        <v>10</v>
      </c>
      <c r="E19" s="8">
        <v>15</v>
      </c>
      <c r="F19" s="10">
        <v>14610</v>
      </c>
      <c r="G19" s="10">
        <v>0</v>
      </c>
      <c r="H19" s="10">
        <v>14610</v>
      </c>
      <c r="I19" s="11">
        <v>9740</v>
      </c>
      <c r="J19" s="12">
        <v>41641</v>
      </c>
    </row>
    <row r="20" spans="1:10" ht="15.75" customHeight="1" x14ac:dyDescent="0.2">
      <c r="A20" s="7" t="s">
        <v>28</v>
      </c>
      <c r="B20" s="7" t="s">
        <v>12</v>
      </c>
      <c r="C20" s="8">
        <v>2518</v>
      </c>
      <c r="D20" s="9">
        <v>10</v>
      </c>
      <c r="E20" s="8">
        <v>12</v>
      </c>
      <c r="F20" s="10">
        <v>30216</v>
      </c>
      <c r="G20" s="10">
        <v>0</v>
      </c>
      <c r="H20" s="10">
        <v>30216</v>
      </c>
      <c r="I20" s="11">
        <v>7554</v>
      </c>
      <c r="J20" s="12">
        <v>41645</v>
      </c>
    </row>
    <row r="21" spans="1:10" ht="15.75" customHeight="1" x14ac:dyDescent="0.2">
      <c r="A21" s="7" t="s">
        <v>29</v>
      </c>
      <c r="B21" s="7" t="s">
        <v>12</v>
      </c>
      <c r="C21" s="8">
        <v>1006</v>
      </c>
      <c r="D21" s="9">
        <v>10</v>
      </c>
      <c r="E21" s="8">
        <v>350</v>
      </c>
      <c r="F21" s="10">
        <v>352100</v>
      </c>
      <c r="G21" s="10">
        <v>0</v>
      </c>
      <c r="H21" s="10">
        <v>352100</v>
      </c>
      <c r="I21" s="11">
        <v>261560</v>
      </c>
      <c r="J21" s="12">
        <v>41645</v>
      </c>
    </row>
    <row r="22" spans="1:10" ht="15.75" customHeight="1" x14ac:dyDescent="0.2">
      <c r="A22" s="7" t="s">
        <v>30</v>
      </c>
      <c r="B22" s="7" t="s">
        <v>12</v>
      </c>
      <c r="C22" s="8">
        <v>367</v>
      </c>
      <c r="D22" s="9">
        <v>10</v>
      </c>
      <c r="E22" s="8">
        <v>12</v>
      </c>
      <c r="F22" s="10">
        <v>4404</v>
      </c>
      <c r="G22" s="10">
        <v>0</v>
      </c>
      <c r="H22" s="10">
        <v>4404</v>
      </c>
      <c r="I22" s="11">
        <v>1101</v>
      </c>
      <c r="J22" s="12">
        <v>41646</v>
      </c>
    </row>
    <row r="23" spans="1:10" ht="12.75" x14ac:dyDescent="0.2">
      <c r="A23" s="7" t="s">
        <v>31</v>
      </c>
      <c r="B23" s="7" t="s">
        <v>12</v>
      </c>
      <c r="C23" s="8">
        <v>883</v>
      </c>
      <c r="D23" s="9">
        <v>10</v>
      </c>
      <c r="E23" s="8">
        <v>7</v>
      </c>
      <c r="F23" s="10">
        <v>6181</v>
      </c>
      <c r="G23" s="10">
        <v>0</v>
      </c>
      <c r="H23" s="10">
        <v>6181</v>
      </c>
      <c r="I23" s="11">
        <v>4415</v>
      </c>
      <c r="J23" s="12">
        <v>41647</v>
      </c>
    </row>
    <row r="24" spans="1:10" ht="12.75" x14ac:dyDescent="0.2">
      <c r="A24" s="7" t="s">
        <v>32</v>
      </c>
      <c r="B24" s="7" t="s">
        <v>12</v>
      </c>
      <c r="C24" s="8">
        <v>549</v>
      </c>
      <c r="D24" s="9">
        <v>10</v>
      </c>
      <c r="E24" s="8">
        <v>15</v>
      </c>
      <c r="F24" s="10">
        <v>8235</v>
      </c>
      <c r="G24" s="10">
        <v>0</v>
      </c>
      <c r="H24" s="10">
        <v>8235</v>
      </c>
      <c r="I24" s="11">
        <v>5490</v>
      </c>
      <c r="J24" s="12">
        <v>41283</v>
      </c>
    </row>
    <row r="25" spans="1:10" ht="12.75" x14ac:dyDescent="0.2">
      <c r="A25" s="7" t="s">
        <v>33</v>
      </c>
      <c r="B25" s="7" t="s">
        <v>12</v>
      </c>
      <c r="C25" s="8">
        <v>788</v>
      </c>
      <c r="D25" s="9">
        <v>10</v>
      </c>
      <c r="E25" s="8">
        <v>300</v>
      </c>
      <c r="F25" s="10">
        <v>236400</v>
      </c>
      <c r="G25" s="10">
        <v>0</v>
      </c>
      <c r="H25" s="10">
        <v>236400</v>
      </c>
      <c r="I25" s="11">
        <v>197000</v>
      </c>
      <c r="J25" s="12">
        <v>41283</v>
      </c>
    </row>
    <row r="26" spans="1:10" ht="12.75" x14ac:dyDescent="0.2">
      <c r="A26" s="7" t="s">
        <v>27</v>
      </c>
      <c r="B26" s="7" t="s">
        <v>12</v>
      </c>
      <c r="C26" s="8">
        <v>2472</v>
      </c>
      <c r="D26" s="9">
        <v>10</v>
      </c>
      <c r="E26" s="8">
        <v>15</v>
      </c>
      <c r="F26" s="10">
        <v>37080</v>
      </c>
      <c r="G26" s="10">
        <v>0</v>
      </c>
      <c r="H26" s="10">
        <v>37080</v>
      </c>
      <c r="I26" s="11">
        <v>24720</v>
      </c>
      <c r="J26" s="12">
        <v>41648</v>
      </c>
    </row>
    <row r="27" spans="1:10" ht="12.75" x14ac:dyDescent="0.2">
      <c r="A27" s="7" t="s">
        <v>34</v>
      </c>
      <c r="B27" s="7" t="s">
        <v>12</v>
      </c>
      <c r="C27" s="8">
        <v>1143</v>
      </c>
      <c r="D27" s="9">
        <v>10</v>
      </c>
      <c r="E27" s="8">
        <v>7</v>
      </c>
      <c r="F27" s="10">
        <v>8001</v>
      </c>
      <c r="G27" s="10">
        <v>0</v>
      </c>
      <c r="H27" s="10">
        <v>8001</v>
      </c>
      <c r="I27" s="11">
        <v>5715</v>
      </c>
      <c r="J27" s="12">
        <v>41649</v>
      </c>
    </row>
    <row r="28" spans="1:10" ht="12.75" x14ac:dyDescent="0.2">
      <c r="A28" s="7" t="s">
        <v>26</v>
      </c>
      <c r="B28" s="7" t="s">
        <v>12</v>
      </c>
      <c r="C28" s="8">
        <v>1725</v>
      </c>
      <c r="D28" s="9">
        <v>10</v>
      </c>
      <c r="E28" s="8">
        <v>350</v>
      </c>
      <c r="F28" s="10">
        <v>603750</v>
      </c>
      <c r="G28" s="10">
        <v>0</v>
      </c>
      <c r="H28" s="10">
        <v>603750</v>
      </c>
      <c r="I28" s="11">
        <v>448500</v>
      </c>
      <c r="J28" s="12">
        <v>41285</v>
      </c>
    </row>
    <row r="29" spans="1:10" ht="12.75" x14ac:dyDescent="0.2">
      <c r="A29" s="7" t="s">
        <v>35</v>
      </c>
      <c r="B29" s="7" t="s">
        <v>12</v>
      </c>
      <c r="C29" s="8">
        <v>912</v>
      </c>
      <c r="D29" s="9">
        <v>10</v>
      </c>
      <c r="E29" s="8">
        <v>12</v>
      </c>
      <c r="F29" s="10">
        <v>10944</v>
      </c>
      <c r="G29" s="10">
        <v>0</v>
      </c>
      <c r="H29" s="10">
        <v>10944</v>
      </c>
      <c r="I29" s="11">
        <v>2736</v>
      </c>
      <c r="J29" s="12">
        <v>41285</v>
      </c>
    </row>
    <row r="30" spans="1:10" ht="12.75" x14ac:dyDescent="0.2">
      <c r="A30" s="7" t="s">
        <v>36</v>
      </c>
      <c r="B30" s="7" t="s">
        <v>12</v>
      </c>
      <c r="C30" s="8">
        <v>2152</v>
      </c>
      <c r="D30" s="9">
        <v>10</v>
      </c>
      <c r="E30" s="8">
        <v>15</v>
      </c>
      <c r="F30" s="10">
        <v>32280</v>
      </c>
      <c r="G30" s="10">
        <v>0</v>
      </c>
      <c r="H30" s="10">
        <v>32280</v>
      </c>
      <c r="I30" s="11">
        <v>21520</v>
      </c>
      <c r="J30" s="12">
        <v>41286</v>
      </c>
    </row>
    <row r="31" spans="1:10" ht="12.75" x14ac:dyDescent="0.2">
      <c r="A31" s="7" t="s">
        <v>26</v>
      </c>
      <c r="B31" s="7" t="s">
        <v>12</v>
      </c>
      <c r="C31" s="8">
        <v>1817</v>
      </c>
      <c r="D31" s="9">
        <v>10</v>
      </c>
      <c r="E31" s="8">
        <v>20</v>
      </c>
      <c r="F31" s="10">
        <v>36340</v>
      </c>
      <c r="G31" s="10">
        <v>0</v>
      </c>
      <c r="H31" s="10">
        <v>36340</v>
      </c>
      <c r="I31" s="11">
        <v>18170</v>
      </c>
      <c r="J31" s="12">
        <v>41651</v>
      </c>
    </row>
    <row r="32" spans="1:10" ht="12.75" x14ac:dyDescent="0.2">
      <c r="A32" s="7" t="s">
        <v>29</v>
      </c>
      <c r="B32" s="7" t="s">
        <v>12</v>
      </c>
      <c r="C32" s="8">
        <v>1513</v>
      </c>
      <c r="D32" s="9">
        <v>10</v>
      </c>
      <c r="E32" s="8">
        <v>350</v>
      </c>
      <c r="F32" s="10">
        <v>529550</v>
      </c>
      <c r="G32" s="10">
        <v>0</v>
      </c>
      <c r="H32" s="10">
        <v>529550</v>
      </c>
      <c r="I32" s="11">
        <v>393380</v>
      </c>
      <c r="J32" s="12">
        <v>41651</v>
      </c>
    </row>
    <row r="33" spans="1:10" ht="12.75" x14ac:dyDescent="0.2">
      <c r="A33" s="7" t="s">
        <v>37</v>
      </c>
      <c r="B33" s="7" t="s">
        <v>12</v>
      </c>
      <c r="C33" s="8">
        <v>1493</v>
      </c>
      <c r="D33" s="9">
        <v>120</v>
      </c>
      <c r="E33" s="8">
        <v>7</v>
      </c>
      <c r="F33" s="10">
        <v>10451</v>
      </c>
      <c r="G33" s="10">
        <v>0</v>
      </c>
      <c r="H33" s="10">
        <v>10451</v>
      </c>
      <c r="I33" s="11">
        <v>7465</v>
      </c>
      <c r="J33" s="12">
        <v>41640</v>
      </c>
    </row>
    <row r="34" spans="1:10" ht="12.75" x14ac:dyDescent="0.2">
      <c r="A34" s="7" t="s">
        <v>38</v>
      </c>
      <c r="B34" s="7" t="s">
        <v>12</v>
      </c>
      <c r="C34" s="8">
        <v>1804</v>
      </c>
      <c r="D34" s="9">
        <v>120</v>
      </c>
      <c r="E34" s="8">
        <v>125</v>
      </c>
      <c r="F34" s="10">
        <v>225500</v>
      </c>
      <c r="G34" s="10">
        <v>0</v>
      </c>
      <c r="H34" s="10">
        <v>225500</v>
      </c>
      <c r="I34" s="11">
        <v>216480</v>
      </c>
      <c r="J34" s="12">
        <v>41641</v>
      </c>
    </row>
    <row r="35" spans="1:10" ht="12.75" x14ac:dyDescent="0.2">
      <c r="A35" s="7" t="s">
        <v>39</v>
      </c>
      <c r="B35" s="7" t="s">
        <v>12</v>
      </c>
      <c r="C35" s="8">
        <v>2161</v>
      </c>
      <c r="D35" s="9">
        <v>120</v>
      </c>
      <c r="E35" s="8">
        <v>12</v>
      </c>
      <c r="F35" s="10">
        <v>25932</v>
      </c>
      <c r="G35" s="10">
        <v>0</v>
      </c>
      <c r="H35" s="10">
        <v>25932</v>
      </c>
      <c r="I35" s="11">
        <v>6483</v>
      </c>
      <c r="J35" s="12">
        <v>41642</v>
      </c>
    </row>
    <row r="36" spans="1:10" ht="12.75" x14ac:dyDescent="0.2">
      <c r="A36" s="7" t="s">
        <v>40</v>
      </c>
      <c r="B36" s="7" t="s">
        <v>12</v>
      </c>
      <c r="C36" s="8">
        <v>1006</v>
      </c>
      <c r="D36" s="9">
        <v>120</v>
      </c>
      <c r="E36" s="8">
        <v>350</v>
      </c>
      <c r="F36" s="10">
        <v>352100</v>
      </c>
      <c r="G36" s="10">
        <v>0</v>
      </c>
      <c r="H36" s="10">
        <v>352100</v>
      </c>
      <c r="I36" s="11">
        <v>261560</v>
      </c>
      <c r="J36" s="12">
        <v>41645</v>
      </c>
    </row>
    <row r="37" spans="1:10" ht="12.75" x14ac:dyDescent="0.2">
      <c r="A37" s="7" t="s">
        <v>39</v>
      </c>
      <c r="B37" s="7" t="s">
        <v>12</v>
      </c>
      <c r="C37" s="8">
        <v>1545</v>
      </c>
      <c r="D37" s="9">
        <v>120</v>
      </c>
      <c r="E37" s="8">
        <v>12</v>
      </c>
      <c r="F37" s="10">
        <v>18540</v>
      </c>
      <c r="G37" s="10">
        <v>0</v>
      </c>
      <c r="H37" s="10">
        <v>18540</v>
      </c>
      <c r="I37" s="11">
        <v>4635</v>
      </c>
      <c r="J37" s="12">
        <v>41645</v>
      </c>
    </row>
    <row r="38" spans="1:10" ht="12.75" x14ac:dyDescent="0.2">
      <c r="A38" s="7" t="s">
        <v>41</v>
      </c>
      <c r="B38" s="7" t="s">
        <v>12</v>
      </c>
      <c r="C38" s="8">
        <v>2821</v>
      </c>
      <c r="D38" s="9">
        <v>120</v>
      </c>
      <c r="E38" s="8">
        <v>125</v>
      </c>
      <c r="F38" s="10">
        <v>352625</v>
      </c>
      <c r="G38" s="10">
        <v>0</v>
      </c>
      <c r="H38" s="10">
        <v>352625</v>
      </c>
      <c r="I38" s="11">
        <v>338520</v>
      </c>
      <c r="J38" s="12">
        <v>41647</v>
      </c>
    </row>
    <row r="39" spans="1:10" ht="12.75" x14ac:dyDescent="0.2">
      <c r="A39" s="7" t="s">
        <v>42</v>
      </c>
      <c r="B39" s="7" t="s">
        <v>12</v>
      </c>
      <c r="C39" s="8">
        <v>345</v>
      </c>
      <c r="D39" s="9">
        <v>120</v>
      </c>
      <c r="E39" s="8">
        <v>125</v>
      </c>
      <c r="F39" s="10">
        <v>43125</v>
      </c>
      <c r="G39" s="10">
        <v>0</v>
      </c>
      <c r="H39" s="10">
        <v>43125</v>
      </c>
      <c r="I39" s="11">
        <v>41400</v>
      </c>
      <c r="J39" s="12">
        <v>41284</v>
      </c>
    </row>
    <row r="40" spans="1:10" ht="12.75" x14ac:dyDescent="0.2">
      <c r="A40" s="7" t="s">
        <v>43</v>
      </c>
      <c r="B40" s="7" t="s">
        <v>12</v>
      </c>
      <c r="C40" s="8">
        <v>2001</v>
      </c>
      <c r="D40" s="9">
        <v>250</v>
      </c>
      <c r="E40" s="8">
        <v>300</v>
      </c>
      <c r="F40" s="10">
        <v>600300</v>
      </c>
      <c r="G40" s="10">
        <v>0</v>
      </c>
      <c r="H40" s="10">
        <v>600300</v>
      </c>
      <c r="I40" s="11">
        <v>500250</v>
      </c>
      <c r="J40" s="12">
        <v>41641</v>
      </c>
    </row>
    <row r="41" spans="1:10" ht="12.75" x14ac:dyDescent="0.2">
      <c r="A41" s="7" t="s">
        <v>44</v>
      </c>
      <c r="B41" s="7" t="s">
        <v>12</v>
      </c>
      <c r="C41" s="8">
        <v>2838</v>
      </c>
      <c r="D41" s="9">
        <v>250</v>
      </c>
      <c r="E41" s="8">
        <v>12</v>
      </c>
      <c r="F41" s="10">
        <v>34056</v>
      </c>
      <c r="G41" s="10">
        <v>0</v>
      </c>
      <c r="H41" s="10">
        <v>34056</v>
      </c>
      <c r="I41" s="11">
        <v>8514</v>
      </c>
      <c r="J41" s="12">
        <v>41643</v>
      </c>
    </row>
    <row r="42" spans="1:10" ht="12.75" x14ac:dyDescent="0.2">
      <c r="A42" s="7" t="s">
        <v>45</v>
      </c>
      <c r="B42" s="7" t="s">
        <v>12</v>
      </c>
      <c r="C42" s="8">
        <v>2178</v>
      </c>
      <c r="D42" s="9">
        <v>250</v>
      </c>
      <c r="E42" s="8">
        <v>15</v>
      </c>
      <c r="F42" s="10">
        <v>32670</v>
      </c>
      <c r="G42" s="10">
        <v>0</v>
      </c>
      <c r="H42" s="10">
        <v>32670</v>
      </c>
      <c r="I42" s="11">
        <v>21780</v>
      </c>
      <c r="J42" s="12">
        <v>41645</v>
      </c>
    </row>
    <row r="43" spans="1:10" ht="12.75" x14ac:dyDescent="0.2">
      <c r="A43" s="7" t="s">
        <v>46</v>
      </c>
      <c r="B43" s="7" t="s">
        <v>12</v>
      </c>
      <c r="C43" s="8">
        <v>888</v>
      </c>
      <c r="D43" s="9">
        <v>250</v>
      </c>
      <c r="E43" s="8">
        <v>15</v>
      </c>
      <c r="F43" s="10">
        <v>13320</v>
      </c>
      <c r="G43" s="10">
        <v>0</v>
      </c>
      <c r="H43" s="10">
        <v>13320</v>
      </c>
      <c r="I43" s="11">
        <v>8880</v>
      </c>
      <c r="J43" s="12">
        <v>41645</v>
      </c>
    </row>
    <row r="44" spans="1:10" ht="12.75" x14ac:dyDescent="0.2">
      <c r="A44" s="7" t="s">
        <v>47</v>
      </c>
      <c r="B44" s="7" t="s">
        <v>12</v>
      </c>
      <c r="C44" s="8">
        <v>1527</v>
      </c>
      <c r="D44" s="9">
        <v>250</v>
      </c>
      <c r="E44" s="8">
        <v>350</v>
      </c>
      <c r="F44" s="10">
        <v>534450</v>
      </c>
      <c r="G44" s="10">
        <v>0</v>
      </c>
      <c r="H44" s="10">
        <v>534450</v>
      </c>
      <c r="I44" s="11">
        <v>397020</v>
      </c>
      <c r="J44" s="12">
        <v>41283</v>
      </c>
    </row>
    <row r="45" spans="1:10" ht="12.75" x14ac:dyDescent="0.2">
      <c r="A45" s="7" t="s">
        <v>48</v>
      </c>
      <c r="B45" s="7" t="s">
        <v>12</v>
      </c>
      <c r="C45" s="8">
        <v>2151</v>
      </c>
      <c r="D45" s="9">
        <v>250</v>
      </c>
      <c r="E45" s="8">
        <v>300</v>
      </c>
      <c r="F45" s="10">
        <v>645300</v>
      </c>
      <c r="G45" s="10">
        <v>0</v>
      </c>
      <c r="H45" s="10">
        <v>645300</v>
      </c>
      <c r="I45" s="11">
        <v>537750</v>
      </c>
      <c r="J45" s="12">
        <v>41648</v>
      </c>
    </row>
    <row r="46" spans="1:10" ht="12.75" x14ac:dyDescent="0.2">
      <c r="A46" s="7" t="s">
        <v>49</v>
      </c>
      <c r="B46" s="7" t="s">
        <v>12</v>
      </c>
      <c r="C46" s="8">
        <v>1817</v>
      </c>
      <c r="D46" s="9">
        <v>250</v>
      </c>
      <c r="E46" s="8">
        <v>20</v>
      </c>
      <c r="F46" s="10">
        <v>36340</v>
      </c>
      <c r="G46" s="10">
        <v>0</v>
      </c>
      <c r="H46" s="10">
        <v>36340</v>
      </c>
      <c r="I46" s="11">
        <v>18170</v>
      </c>
      <c r="J46" s="12">
        <v>41651</v>
      </c>
    </row>
    <row r="47" spans="1:10" ht="12.75" x14ac:dyDescent="0.2">
      <c r="A47" s="7" t="s">
        <v>50</v>
      </c>
      <c r="B47" s="7" t="s">
        <v>12</v>
      </c>
      <c r="C47" s="8">
        <v>2750</v>
      </c>
      <c r="D47" s="9">
        <v>260</v>
      </c>
      <c r="E47" s="8">
        <v>350</v>
      </c>
      <c r="F47" s="10">
        <v>962500</v>
      </c>
      <c r="G47" s="10">
        <v>0</v>
      </c>
      <c r="H47" s="10">
        <v>962500</v>
      </c>
      <c r="I47" s="11">
        <v>715000</v>
      </c>
      <c r="J47" s="12">
        <v>41641</v>
      </c>
    </row>
    <row r="48" spans="1:10" ht="12.75" x14ac:dyDescent="0.2">
      <c r="A48" s="7" t="s">
        <v>51</v>
      </c>
      <c r="B48" s="7" t="s">
        <v>12</v>
      </c>
      <c r="C48" s="8">
        <v>1953</v>
      </c>
      <c r="D48" s="9">
        <v>260</v>
      </c>
      <c r="E48" s="8">
        <v>12</v>
      </c>
      <c r="F48" s="10">
        <v>23436</v>
      </c>
      <c r="G48" s="10">
        <v>0</v>
      </c>
      <c r="H48" s="10">
        <v>23436</v>
      </c>
      <c r="I48" s="11">
        <v>5859</v>
      </c>
      <c r="J48" s="12">
        <v>41643</v>
      </c>
    </row>
    <row r="49" spans="1:10" ht="12.75" x14ac:dyDescent="0.2">
      <c r="A49" s="7" t="s">
        <v>52</v>
      </c>
      <c r="B49" s="7" t="s">
        <v>12</v>
      </c>
      <c r="C49" s="8">
        <v>4219.5</v>
      </c>
      <c r="D49" s="9">
        <v>260</v>
      </c>
      <c r="E49" s="8">
        <v>125</v>
      </c>
      <c r="F49" s="10">
        <v>527437.5</v>
      </c>
      <c r="G49" s="10">
        <v>0</v>
      </c>
      <c r="H49" s="10">
        <v>527437.5</v>
      </c>
      <c r="I49" s="11">
        <v>506340</v>
      </c>
      <c r="J49" s="12">
        <v>41643</v>
      </c>
    </row>
    <row r="50" spans="1:10" ht="12.75" x14ac:dyDescent="0.2">
      <c r="A50" s="7" t="s">
        <v>50</v>
      </c>
      <c r="B50" s="7" t="s">
        <v>12</v>
      </c>
      <c r="C50" s="8">
        <v>1899</v>
      </c>
      <c r="D50" s="9">
        <v>260</v>
      </c>
      <c r="E50" s="8">
        <v>20</v>
      </c>
      <c r="F50" s="10">
        <v>37980</v>
      </c>
      <c r="G50" s="10">
        <v>0</v>
      </c>
      <c r="H50" s="10">
        <v>37980</v>
      </c>
      <c r="I50" s="11">
        <v>18990</v>
      </c>
      <c r="J50" s="12">
        <v>41645</v>
      </c>
    </row>
    <row r="51" spans="1:10" ht="12.75" x14ac:dyDescent="0.2">
      <c r="A51" s="7" t="s">
        <v>53</v>
      </c>
      <c r="B51" s="7" t="s">
        <v>12</v>
      </c>
      <c r="C51" s="8">
        <v>1686</v>
      </c>
      <c r="D51" s="9">
        <v>260</v>
      </c>
      <c r="E51" s="8">
        <v>7</v>
      </c>
      <c r="F51" s="10">
        <v>11802</v>
      </c>
      <c r="G51" s="10">
        <v>0</v>
      </c>
      <c r="H51" s="10">
        <v>11802</v>
      </c>
      <c r="I51" s="11">
        <v>8430</v>
      </c>
      <c r="J51" s="12">
        <v>41646</v>
      </c>
    </row>
    <row r="52" spans="1:10" ht="12.75" x14ac:dyDescent="0.2">
      <c r="A52" s="7" t="s">
        <v>51</v>
      </c>
      <c r="B52" s="7" t="s">
        <v>12</v>
      </c>
      <c r="C52" s="8">
        <v>2141</v>
      </c>
      <c r="D52" s="9">
        <v>260</v>
      </c>
      <c r="E52" s="8">
        <v>12</v>
      </c>
      <c r="F52" s="10">
        <v>25692</v>
      </c>
      <c r="G52" s="10">
        <v>0</v>
      </c>
      <c r="H52" s="10">
        <v>25692</v>
      </c>
      <c r="I52" s="11">
        <v>6423</v>
      </c>
      <c r="J52" s="12">
        <v>41647</v>
      </c>
    </row>
    <row r="53" spans="1:10" ht="12.75" x14ac:dyDescent="0.2">
      <c r="A53" s="7" t="s">
        <v>54</v>
      </c>
      <c r="B53" s="7" t="s">
        <v>12</v>
      </c>
      <c r="C53" s="8">
        <v>1143</v>
      </c>
      <c r="D53" s="9">
        <v>260</v>
      </c>
      <c r="E53" s="8">
        <v>7</v>
      </c>
      <c r="F53" s="10">
        <v>8001</v>
      </c>
      <c r="G53" s="10">
        <v>0</v>
      </c>
      <c r="H53" s="10">
        <v>8001</v>
      </c>
      <c r="I53" s="11">
        <v>5715</v>
      </c>
      <c r="J53" s="12">
        <v>41649</v>
      </c>
    </row>
    <row r="54" spans="1:10" ht="12.75" x14ac:dyDescent="0.2">
      <c r="A54" s="7" t="s">
        <v>55</v>
      </c>
      <c r="B54" s="7" t="s">
        <v>12</v>
      </c>
      <c r="C54" s="8">
        <v>615</v>
      </c>
      <c r="D54" s="9">
        <v>260</v>
      </c>
      <c r="E54" s="8">
        <v>15</v>
      </c>
      <c r="F54" s="10">
        <v>9225</v>
      </c>
      <c r="G54" s="10">
        <v>0</v>
      </c>
      <c r="H54" s="10">
        <v>9225</v>
      </c>
      <c r="I54" s="11">
        <v>6150</v>
      </c>
      <c r="J54" s="12">
        <v>41651</v>
      </c>
    </row>
    <row r="55" spans="1:10" ht="12.75" x14ac:dyDescent="0.2">
      <c r="A55" s="7" t="s">
        <v>56</v>
      </c>
      <c r="B55" s="7" t="s">
        <v>57</v>
      </c>
      <c r="C55" s="8">
        <v>3945</v>
      </c>
      <c r="D55" s="9">
        <v>10</v>
      </c>
      <c r="E55" s="8">
        <v>7</v>
      </c>
      <c r="F55" s="10">
        <v>27615</v>
      </c>
      <c r="G55" s="10">
        <v>276.14999999999998</v>
      </c>
      <c r="H55" s="10">
        <v>27338.85</v>
      </c>
      <c r="I55" s="11">
        <v>19725</v>
      </c>
      <c r="J55" s="12">
        <v>41640</v>
      </c>
    </row>
    <row r="56" spans="1:10" ht="12.75" x14ac:dyDescent="0.2">
      <c r="A56" s="7" t="s">
        <v>32</v>
      </c>
      <c r="B56" s="7" t="s">
        <v>57</v>
      </c>
      <c r="C56" s="8">
        <v>2296</v>
      </c>
      <c r="D56" s="9">
        <v>10</v>
      </c>
      <c r="E56" s="8">
        <v>15</v>
      </c>
      <c r="F56" s="10">
        <v>34440</v>
      </c>
      <c r="G56" s="10">
        <v>344.4</v>
      </c>
      <c r="H56" s="10">
        <v>34095.599999999999</v>
      </c>
      <c r="I56" s="11">
        <v>22960</v>
      </c>
      <c r="J56" s="12">
        <v>41641</v>
      </c>
    </row>
    <row r="57" spans="1:10" ht="12.75" x14ac:dyDescent="0.2">
      <c r="A57" s="7" t="s">
        <v>56</v>
      </c>
      <c r="B57" s="7" t="s">
        <v>57</v>
      </c>
      <c r="C57" s="8">
        <v>1030</v>
      </c>
      <c r="D57" s="9">
        <v>10</v>
      </c>
      <c r="E57" s="8">
        <v>7</v>
      </c>
      <c r="F57" s="10">
        <v>7210</v>
      </c>
      <c r="G57" s="10">
        <v>72.099999999999994</v>
      </c>
      <c r="H57" s="10">
        <v>7137.9</v>
      </c>
      <c r="I57" s="11">
        <v>5150</v>
      </c>
      <c r="J57" s="12">
        <v>41644</v>
      </c>
    </row>
    <row r="58" spans="1:10" ht="12.75" x14ac:dyDescent="0.2">
      <c r="A58" s="7" t="s">
        <v>58</v>
      </c>
      <c r="B58" s="7" t="s">
        <v>57</v>
      </c>
      <c r="C58" s="8">
        <v>639</v>
      </c>
      <c r="D58" s="9">
        <v>120</v>
      </c>
      <c r="E58" s="8">
        <v>7</v>
      </c>
      <c r="F58" s="10">
        <v>4473</v>
      </c>
      <c r="G58" s="10">
        <v>44.73</v>
      </c>
      <c r="H58" s="10">
        <v>4428.2700000000004</v>
      </c>
      <c r="I58" s="11">
        <v>3195</v>
      </c>
      <c r="J58" s="12">
        <v>41650</v>
      </c>
    </row>
    <row r="59" spans="1:10" ht="12.75" x14ac:dyDescent="0.2">
      <c r="A59" s="7" t="s">
        <v>49</v>
      </c>
      <c r="B59" s="7" t="s">
        <v>57</v>
      </c>
      <c r="C59" s="8">
        <v>1326</v>
      </c>
      <c r="D59" s="9">
        <v>250</v>
      </c>
      <c r="E59" s="8">
        <v>7</v>
      </c>
      <c r="F59" s="10">
        <v>9282</v>
      </c>
      <c r="G59" s="10">
        <v>92.82</v>
      </c>
      <c r="H59" s="10">
        <v>9189.18</v>
      </c>
      <c r="I59" s="11">
        <v>6630</v>
      </c>
      <c r="J59" s="12">
        <v>41642</v>
      </c>
    </row>
    <row r="60" spans="1:10" ht="12.75" x14ac:dyDescent="0.2">
      <c r="A60" s="7" t="s">
        <v>59</v>
      </c>
      <c r="B60" s="7" t="s">
        <v>57</v>
      </c>
      <c r="C60" s="8">
        <v>1858</v>
      </c>
      <c r="D60" s="9">
        <v>3</v>
      </c>
      <c r="E60" s="8">
        <v>12</v>
      </c>
      <c r="F60" s="10">
        <v>22296</v>
      </c>
      <c r="G60" s="10">
        <v>222.96</v>
      </c>
      <c r="H60" s="10">
        <v>22073.040000000001</v>
      </c>
      <c r="I60" s="11">
        <v>5574</v>
      </c>
      <c r="J60" s="12">
        <v>41641</v>
      </c>
    </row>
    <row r="61" spans="1:10" ht="12.75" x14ac:dyDescent="0.2">
      <c r="A61" s="7" t="s">
        <v>60</v>
      </c>
      <c r="B61" s="7" t="s">
        <v>57</v>
      </c>
      <c r="C61" s="8">
        <v>1210</v>
      </c>
      <c r="D61" s="9">
        <v>3</v>
      </c>
      <c r="E61" s="8">
        <v>350</v>
      </c>
      <c r="F61" s="10">
        <v>423500</v>
      </c>
      <c r="G61" s="10">
        <v>4235</v>
      </c>
      <c r="H61" s="10">
        <v>419265</v>
      </c>
      <c r="I61" s="11">
        <v>314600</v>
      </c>
      <c r="J61" s="12">
        <v>41642</v>
      </c>
    </row>
    <row r="62" spans="1:10" ht="12.75" x14ac:dyDescent="0.2">
      <c r="A62" s="7" t="s">
        <v>61</v>
      </c>
      <c r="B62" s="7" t="s">
        <v>57</v>
      </c>
      <c r="C62" s="8">
        <v>2529</v>
      </c>
      <c r="D62" s="9">
        <v>3</v>
      </c>
      <c r="E62" s="8">
        <v>7</v>
      </c>
      <c r="F62" s="10">
        <v>17703</v>
      </c>
      <c r="G62" s="10">
        <v>177.03</v>
      </c>
      <c r="H62" s="10">
        <v>17525.97</v>
      </c>
      <c r="I62" s="11">
        <v>12645</v>
      </c>
      <c r="J62" s="12">
        <v>41646</v>
      </c>
    </row>
    <row r="63" spans="1:10" ht="12.75" x14ac:dyDescent="0.2">
      <c r="A63" s="7" t="s">
        <v>62</v>
      </c>
      <c r="B63" s="7" t="s">
        <v>57</v>
      </c>
      <c r="C63" s="8">
        <v>1445</v>
      </c>
      <c r="D63" s="9">
        <v>3</v>
      </c>
      <c r="E63" s="8">
        <v>12</v>
      </c>
      <c r="F63" s="10">
        <v>17340</v>
      </c>
      <c r="G63" s="10">
        <v>173.4</v>
      </c>
      <c r="H63" s="10">
        <v>17166.599999999999</v>
      </c>
      <c r="I63" s="11">
        <v>4335</v>
      </c>
      <c r="J63" s="12">
        <v>41648</v>
      </c>
    </row>
    <row r="64" spans="1:10" ht="12.75" x14ac:dyDescent="0.2">
      <c r="A64" s="7" t="s">
        <v>63</v>
      </c>
      <c r="B64" s="7" t="s">
        <v>57</v>
      </c>
      <c r="C64" s="8">
        <v>330</v>
      </c>
      <c r="D64" s="9">
        <v>3</v>
      </c>
      <c r="E64" s="8">
        <v>125</v>
      </c>
      <c r="F64" s="10">
        <v>41250</v>
      </c>
      <c r="G64" s="10">
        <v>412.5</v>
      </c>
      <c r="H64" s="10">
        <v>40837.5</v>
      </c>
      <c r="I64" s="11">
        <v>39600</v>
      </c>
      <c r="J64" s="12">
        <v>41283</v>
      </c>
    </row>
    <row r="65" spans="1:10" ht="12.75" x14ac:dyDescent="0.2">
      <c r="A65" s="7" t="s">
        <v>64</v>
      </c>
      <c r="B65" s="7" t="s">
        <v>57</v>
      </c>
      <c r="C65" s="8">
        <v>2671</v>
      </c>
      <c r="D65" s="9">
        <v>3</v>
      </c>
      <c r="E65" s="8">
        <v>12</v>
      </c>
      <c r="F65" s="10">
        <v>32052</v>
      </c>
      <c r="G65" s="10">
        <v>320.52</v>
      </c>
      <c r="H65" s="10">
        <v>31731.48</v>
      </c>
      <c r="I65" s="11">
        <v>8013</v>
      </c>
      <c r="J65" s="12">
        <v>41648</v>
      </c>
    </row>
    <row r="66" spans="1:10" ht="12.75" x14ac:dyDescent="0.2">
      <c r="A66" s="7" t="s">
        <v>65</v>
      </c>
      <c r="B66" s="7" t="s">
        <v>57</v>
      </c>
      <c r="C66" s="8">
        <v>766</v>
      </c>
      <c r="D66" s="9">
        <v>3</v>
      </c>
      <c r="E66" s="8">
        <v>12</v>
      </c>
      <c r="F66" s="10">
        <v>9192</v>
      </c>
      <c r="G66" s="10">
        <v>91.92</v>
      </c>
      <c r="H66" s="10">
        <v>9100.08</v>
      </c>
      <c r="I66" s="11">
        <v>2298</v>
      </c>
      <c r="J66" s="12">
        <v>41284</v>
      </c>
    </row>
    <row r="67" spans="1:10" ht="12.75" x14ac:dyDescent="0.2">
      <c r="A67" s="7" t="s">
        <v>66</v>
      </c>
      <c r="B67" s="7" t="s">
        <v>57</v>
      </c>
      <c r="C67" s="8">
        <v>494</v>
      </c>
      <c r="D67" s="9">
        <v>3</v>
      </c>
      <c r="E67" s="8">
        <v>300</v>
      </c>
      <c r="F67" s="10">
        <v>148200</v>
      </c>
      <c r="G67" s="10">
        <v>1482</v>
      </c>
      <c r="H67" s="10">
        <v>146718</v>
      </c>
      <c r="I67" s="11">
        <v>123500</v>
      </c>
      <c r="J67" s="12">
        <v>41284</v>
      </c>
    </row>
    <row r="68" spans="1:10" ht="12.75" x14ac:dyDescent="0.2">
      <c r="A68" s="7" t="s">
        <v>60</v>
      </c>
      <c r="B68" s="7" t="s">
        <v>57</v>
      </c>
      <c r="C68" s="8">
        <v>1397</v>
      </c>
      <c r="D68" s="9">
        <v>3</v>
      </c>
      <c r="E68" s="8">
        <v>350</v>
      </c>
      <c r="F68" s="10">
        <v>488950</v>
      </c>
      <c r="G68" s="10">
        <v>4889.5</v>
      </c>
      <c r="H68" s="10">
        <v>484060.5</v>
      </c>
      <c r="I68" s="11">
        <v>363220</v>
      </c>
      <c r="J68" s="12">
        <v>41649</v>
      </c>
    </row>
    <row r="69" spans="1:10" ht="12.75" x14ac:dyDescent="0.2">
      <c r="A69" s="7" t="s">
        <v>67</v>
      </c>
      <c r="B69" s="7" t="s">
        <v>57</v>
      </c>
      <c r="C69" s="8">
        <v>2155</v>
      </c>
      <c r="D69" s="9">
        <v>3</v>
      </c>
      <c r="E69" s="8">
        <v>350</v>
      </c>
      <c r="F69" s="10">
        <v>754250</v>
      </c>
      <c r="G69" s="10">
        <v>7542.5</v>
      </c>
      <c r="H69" s="10">
        <v>746707.5</v>
      </c>
      <c r="I69" s="11">
        <v>560300</v>
      </c>
      <c r="J69" s="12">
        <v>41651</v>
      </c>
    </row>
    <row r="70" spans="1:10" ht="12.75" x14ac:dyDescent="0.2">
      <c r="A70" s="7" t="s">
        <v>21</v>
      </c>
      <c r="B70" s="7" t="s">
        <v>57</v>
      </c>
      <c r="C70" s="8">
        <v>2214</v>
      </c>
      <c r="D70" s="9">
        <v>5</v>
      </c>
      <c r="E70" s="8">
        <v>15</v>
      </c>
      <c r="F70" s="10">
        <v>33210</v>
      </c>
      <c r="G70" s="10">
        <v>332.1</v>
      </c>
      <c r="H70" s="10">
        <v>32877.9</v>
      </c>
      <c r="I70" s="11">
        <v>22140</v>
      </c>
      <c r="J70" s="12">
        <v>41642</v>
      </c>
    </row>
    <row r="71" spans="1:10" ht="12.75" x14ac:dyDescent="0.2">
      <c r="A71" s="7" t="s">
        <v>68</v>
      </c>
      <c r="B71" s="7" t="s">
        <v>57</v>
      </c>
      <c r="C71" s="8">
        <v>2301</v>
      </c>
      <c r="D71" s="9">
        <v>5</v>
      </c>
      <c r="E71" s="8">
        <v>300</v>
      </c>
      <c r="F71" s="10">
        <v>690300</v>
      </c>
      <c r="G71" s="10">
        <v>6903</v>
      </c>
      <c r="H71" s="10">
        <v>683397</v>
      </c>
      <c r="I71" s="11">
        <v>575250</v>
      </c>
      <c r="J71" s="12">
        <v>41643</v>
      </c>
    </row>
    <row r="72" spans="1:10" ht="12.75" x14ac:dyDescent="0.2">
      <c r="A72" s="7" t="s">
        <v>19</v>
      </c>
      <c r="B72" s="7" t="s">
        <v>57</v>
      </c>
      <c r="C72" s="8">
        <v>1375.5</v>
      </c>
      <c r="D72" s="9">
        <v>5</v>
      </c>
      <c r="E72" s="8">
        <v>20</v>
      </c>
      <c r="F72" s="10">
        <v>27510</v>
      </c>
      <c r="G72" s="10">
        <v>275.10000000000002</v>
      </c>
      <c r="H72" s="10">
        <v>27234.9</v>
      </c>
      <c r="I72" s="11">
        <v>13755</v>
      </c>
      <c r="J72" s="12">
        <v>41646</v>
      </c>
    </row>
    <row r="73" spans="1:10" ht="12.75" x14ac:dyDescent="0.2">
      <c r="A73" s="7" t="s">
        <v>69</v>
      </c>
      <c r="B73" s="7" t="s">
        <v>57</v>
      </c>
      <c r="C73" s="8">
        <v>1830</v>
      </c>
      <c r="D73" s="9">
        <v>5</v>
      </c>
      <c r="E73" s="8">
        <v>7</v>
      </c>
      <c r="F73" s="10">
        <v>12810</v>
      </c>
      <c r="G73" s="10">
        <v>128.1</v>
      </c>
      <c r="H73" s="10">
        <v>12681.9</v>
      </c>
      <c r="I73" s="11">
        <v>9150</v>
      </c>
      <c r="J73" s="12">
        <v>41647</v>
      </c>
    </row>
    <row r="74" spans="1:10" ht="12.75" x14ac:dyDescent="0.2">
      <c r="A74" s="7" t="s">
        <v>68</v>
      </c>
      <c r="B74" s="7" t="s">
        <v>57</v>
      </c>
      <c r="C74" s="8">
        <v>2498</v>
      </c>
      <c r="D74" s="9">
        <v>5</v>
      </c>
      <c r="E74" s="8">
        <v>300</v>
      </c>
      <c r="F74" s="10">
        <v>749400</v>
      </c>
      <c r="G74" s="10">
        <v>7494</v>
      </c>
      <c r="H74" s="10">
        <v>741906</v>
      </c>
      <c r="I74" s="11">
        <v>624500</v>
      </c>
      <c r="J74" s="12">
        <v>41283</v>
      </c>
    </row>
    <row r="75" spans="1:10" ht="12.75" x14ac:dyDescent="0.2">
      <c r="A75" s="7" t="s">
        <v>70</v>
      </c>
      <c r="B75" s="7" t="s">
        <v>57</v>
      </c>
      <c r="C75" s="8">
        <v>663</v>
      </c>
      <c r="D75" s="9">
        <v>5</v>
      </c>
      <c r="E75" s="8">
        <v>125</v>
      </c>
      <c r="F75" s="10">
        <v>82875</v>
      </c>
      <c r="G75" s="10">
        <v>828.75</v>
      </c>
      <c r="H75" s="10">
        <v>82046.25</v>
      </c>
      <c r="I75" s="11">
        <v>79560</v>
      </c>
      <c r="J75" s="12">
        <v>41284</v>
      </c>
    </row>
    <row r="76" spans="1:10" ht="12.75" x14ac:dyDescent="0.2">
      <c r="A76" s="7" t="s">
        <v>71</v>
      </c>
      <c r="B76" s="7" t="s">
        <v>57</v>
      </c>
      <c r="C76" s="8">
        <v>1514</v>
      </c>
      <c r="D76" s="9">
        <v>10</v>
      </c>
      <c r="E76" s="8">
        <v>15</v>
      </c>
      <c r="F76" s="10">
        <v>22710</v>
      </c>
      <c r="G76" s="10">
        <v>227.1</v>
      </c>
      <c r="H76" s="10">
        <v>22482.9</v>
      </c>
      <c r="I76" s="11">
        <v>15140</v>
      </c>
      <c r="J76" s="12">
        <v>41641</v>
      </c>
    </row>
    <row r="77" spans="1:10" ht="12.75" x14ac:dyDescent="0.2">
      <c r="A77" s="7" t="s">
        <v>34</v>
      </c>
      <c r="B77" s="7" t="s">
        <v>57</v>
      </c>
      <c r="C77" s="8">
        <v>4492.5</v>
      </c>
      <c r="D77" s="9">
        <v>10</v>
      </c>
      <c r="E77" s="8">
        <v>7</v>
      </c>
      <c r="F77" s="10">
        <v>31447.5</v>
      </c>
      <c r="G77" s="10">
        <v>314.48</v>
      </c>
      <c r="H77" s="10">
        <v>31133.03</v>
      </c>
      <c r="I77" s="11">
        <v>22462.5</v>
      </c>
      <c r="J77" s="12">
        <v>41643</v>
      </c>
    </row>
    <row r="78" spans="1:10" ht="12.75" x14ac:dyDescent="0.2">
      <c r="A78" s="7" t="s">
        <v>72</v>
      </c>
      <c r="B78" s="7" t="s">
        <v>57</v>
      </c>
      <c r="C78" s="8">
        <v>727</v>
      </c>
      <c r="D78" s="9">
        <v>10</v>
      </c>
      <c r="E78" s="8">
        <v>125</v>
      </c>
      <c r="F78" s="10">
        <v>90875</v>
      </c>
      <c r="G78" s="10">
        <v>908.75</v>
      </c>
      <c r="H78" s="10">
        <v>89966.25</v>
      </c>
      <c r="I78" s="11">
        <v>87240</v>
      </c>
      <c r="J78" s="12">
        <v>41645</v>
      </c>
    </row>
    <row r="79" spans="1:10" ht="12.75" x14ac:dyDescent="0.2">
      <c r="A79" s="7" t="s">
        <v>73</v>
      </c>
      <c r="B79" s="7" t="s">
        <v>57</v>
      </c>
      <c r="C79" s="8">
        <v>787</v>
      </c>
      <c r="D79" s="9">
        <v>10</v>
      </c>
      <c r="E79" s="8">
        <v>125</v>
      </c>
      <c r="F79" s="10">
        <v>98375</v>
      </c>
      <c r="G79" s="10">
        <v>983.75</v>
      </c>
      <c r="H79" s="10">
        <v>97391.25</v>
      </c>
      <c r="I79" s="11">
        <v>94440</v>
      </c>
      <c r="J79" s="12">
        <v>41645</v>
      </c>
    </row>
    <row r="80" spans="1:10" ht="12.75" x14ac:dyDescent="0.2">
      <c r="A80" s="7" t="s">
        <v>74</v>
      </c>
      <c r="B80" s="7" t="s">
        <v>57</v>
      </c>
      <c r="C80" s="8">
        <v>1823</v>
      </c>
      <c r="D80" s="9">
        <v>10</v>
      </c>
      <c r="E80" s="8">
        <v>125</v>
      </c>
      <c r="F80" s="10">
        <v>227875</v>
      </c>
      <c r="G80" s="10">
        <v>2278.75</v>
      </c>
      <c r="H80" s="10">
        <v>225596.25</v>
      </c>
      <c r="I80" s="11">
        <v>218760</v>
      </c>
      <c r="J80" s="12">
        <v>41646</v>
      </c>
    </row>
    <row r="81" spans="1:10" ht="12.75" x14ac:dyDescent="0.2">
      <c r="A81" s="7" t="s">
        <v>75</v>
      </c>
      <c r="B81" s="7" t="s">
        <v>57</v>
      </c>
      <c r="C81" s="8">
        <v>747</v>
      </c>
      <c r="D81" s="9">
        <v>10</v>
      </c>
      <c r="E81" s="8">
        <v>15</v>
      </c>
      <c r="F81" s="10">
        <v>11205</v>
      </c>
      <c r="G81" s="10">
        <v>112.05</v>
      </c>
      <c r="H81" s="10">
        <v>11092.95</v>
      </c>
      <c r="I81" s="11">
        <v>7470</v>
      </c>
      <c r="J81" s="12">
        <v>41648</v>
      </c>
    </row>
    <row r="82" spans="1:10" ht="12.75" x14ac:dyDescent="0.2">
      <c r="A82" s="7" t="s">
        <v>30</v>
      </c>
      <c r="B82" s="7" t="s">
        <v>57</v>
      </c>
      <c r="C82" s="8">
        <v>766</v>
      </c>
      <c r="D82" s="9">
        <v>10</v>
      </c>
      <c r="E82" s="8">
        <v>12</v>
      </c>
      <c r="F82" s="10">
        <v>9192</v>
      </c>
      <c r="G82" s="10">
        <v>91.92</v>
      </c>
      <c r="H82" s="10">
        <v>9100.08</v>
      </c>
      <c r="I82" s="11">
        <v>2298</v>
      </c>
      <c r="J82" s="12">
        <v>41284</v>
      </c>
    </row>
    <row r="83" spans="1:10" ht="12.75" x14ac:dyDescent="0.2">
      <c r="A83" s="7" t="s">
        <v>76</v>
      </c>
      <c r="B83" s="7" t="s">
        <v>57</v>
      </c>
      <c r="C83" s="8">
        <v>2905</v>
      </c>
      <c r="D83" s="9">
        <v>10</v>
      </c>
      <c r="E83" s="8">
        <v>300</v>
      </c>
      <c r="F83" s="10">
        <v>871500</v>
      </c>
      <c r="G83" s="10">
        <v>8715</v>
      </c>
      <c r="H83" s="10">
        <v>862785</v>
      </c>
      <c r="I83" s="11">
        <v>726250</v>
      </c>
      <c r="J83" s="12">
        <v>41650</v>
      </c>
    </row>
    <row r="84" spans="1:10" ht="12.75" x14ac:dyDescent="0.2">
      <c r="A84" s="7" t="s">
        <v>56</v>
      </c>
      <c r="B84" s="7" t="s">
        <v>57</v>
      </c>
      <c r="C84" s="8">
        <v>2155</v>
      </c>
      <c r="D84" s="9">
        <v>10</v>
      </c>
      <c r="E84" s="8">
        <v>350</v>
      </c>
      <c r="F84" s="10">
        <v>754250</v>
      </c>
      <c r="G84" s="10">
        <v>7542.5</v>
      </c>
      <c r="H84" s="10">
        <v>746707.5</v>
      </c>
      <c r="I84" s="11">
        <v>560300</v>
      </c>
      <c r="J84" s="12">
        <v>41651</v>
      </c>
    </row>
    <row r="85" spans="1:10" ht="12.75" x14ac:dyDescent="0.2">
      <c r="A85" s="7" t="s">
        <v>58</v>
      </c>
      <c r="B85" s="7" t="s">
        <v>57</v>
      </c>
      <c r="C85" s="8">
        <v>3864</v>
      </c>
      <c r="D85" s="9">
        <v>120</v>
      </c>
      <c r="E85" s="8">
        <v>20</v>
      </c>
      <c r="F85" s="10">
        <v>77280</v>
      </c>
      <c r="G85" s="10">
        <v>772.8</v>
      </c>
      <c r="H85" s="10">
        <v>76507.199999999997</v>
      </c>
      <c r="I85" s="11">
        <v>38640</v>
      </c>
      <c r="J85" s="12">
        <v>41643</v>
      </c>
    </row>
    <row r="86" spans="1:10" ht="12.75" x14ac:dyDescent="0.2">
      <c r="A86" s="7" t="s">
        <v>37</v>
      </c>
      <c r="B86" s="7" t="s">
        <v>57</v>
      </c>
      <c r="C86" s="8">
        <v>362</v>
      </c>
      <c r="D86" s="9">
        <v>120</v>
      </c>
      <c r="E86" s="8">
        <v>7</v>
      </c>
      <c r="F86" s="10">
        <v>2534</v>
      </c>
      <c r="G86" s="10">
        <v>25.34</v>
      </c>
      <c r="H86" s="10">
        <v>2508.66</v>
      </c>
      <c r="I86" s="11">
        <v>1810</v>
      </c>
      <c r="J86" s="12">
        <v>41644</v>
      </c>
    </row>
    <row r="87" spans="1:10" ht="12.75" x14ac:dyDescent="0.2">
      <c r="A87" s="7" t="s">
        <v>42</v>
      </c>
      <c r="B87" s="7" t="s">
        <v>57</v>
      </c>
      <c r="C87" s="8">
        <v>923</v>
      </c>
      <c r="D87" s="9">
        <v>120</v>
      </c>
      <c r="E87" s="8">
        <v>125</v>
      </c>
      <c r="F87" s="10">
        <v>115375</v>
      </c>
      <c r="G87" s="10">
        <v>1153.75</v>
      </c>
      <c r="H87" s="10">
        <v>114221.25</v>
      </c>
      <c r="I87" s="11">
        <v>110760</v>
      </c>
      <c r="J87" s="12">
        <v>41647</v>
      </c>
    </row>
    <row r="88" spans="1:10" ht="12.75" x14ac:dyDescent="0.2">
      <c r="A88" s="7" t="s">
        <v>41</v>
      </c>
      <c r="B88" s="7" t="s">
        <v>57</v>
      </c>
      <c r="C88" s="8">
        <v>663</v>
      </c>
      <c r="D88" s="9">
        <v>120</v>
      </c>
      <c r="E88" s="8">
        <v>125</v>
      </c>
      <c r="F88" s="10">
        <v>82875</v>
      </c>
      <c r="G88" s="10">
        <v>828.75</v>
      </c>
      <c r="H88" s="10">
        <v>82046.25</v>
      </c>
      <c r="I88" s="11">
        <v>79560</v>
      </c>
      <c r="J88" s="12">
        <v>41284</v>
      </c>
    </row>
    <row r="89" spans="1:10" ht="12.75" x14ac:dyDescent="0.2">
      <c r="A89" s="7" t="s">
        <v>77</v>
      </c>
      <c r="B89" s="7" t="s">
        <v>57</v>
      </c>
      <c r="C89" s="8">
        <v>2092</v>
      </c>
      <c r="D89" s="9">
        <v>120</v>
      </c>
      <c r="E89" s="8">
        <v>7</v>
      </c>
      <c r="F89" s="10">
        <v>14644</v>
      </c>
      <c r="G89" s="10">
        <v>146.44</v>
      </c>
      <c r="H89" s="10">
        <v>14497.56</v>
      </c>
      <c r="I89" s="11">
        <v>10460</v>
      </c>
      <c r="J89" s="12">
        <v>41285</v>
      </c>
    </row>
    <row r="90" spans="1:10" ht="12.75" x14ac:dyDescent="0.2">
      <c r="A90" s="7" t="s">
        <v>78</v>
      </c>
      <c r="B90" s="7" t="s">
        <v>57</v>
      </c>
      <c r="C90" s="8">
        <v>263</v>
      </c>
      <c r="D90" s="9">
        <v>250</v>
      </c>
      <c r="E90" s="8">
        <v>7</v>
      </c>
      <c r="F90" s="10">
        <v>1841</v>
      </c>
      <c r="G90" s="10">
        <v>18.41</v>
      </c>
      <c r="H90" s="10">
        <v>1822.59</v>
      </c>
      <c r="I90" s="11">
        <v>1315</v>
      </c>
      <c r="J90" s="12">
        <v>41642</v>
      </c>
    </row>
    <row r="91" spans="1:10" ht="12.75" x14ac:dyDescent="0.2">
      <c r="A91" s="7" t="s">
        <v>49</v>
      </c>
      <c r="B91" s="7" t="s">
        <v>57</v>
      </c>
      <c r="C91" s="8">
        <v>943.5</v>
      </c>
      <c r="D91" s="9">
        <v>250</v>
      </c>
      <c r="E91" s="8">
        <v>350</v>
      </c>
      <c r="F91" s="10">
        <v>330225</v>
      </c>
      <c r="G91" s="10">
        <v>3302.25</v>
      </c>
      <c r="H91" s="10">
        <v>326922.75</v>
      </c>
      <c r="I91" s="11">
        <v>245310</v>
      </c>
      <c r="J91" s="12">
        <v>41643</v>
      </c>
    </row>
    <row r="92" spans="1:10" ht="12.75" x14ac:dyDescent="0.2">
      <c r="A92" s="7" t="s">
        <v>79</v>
      </c>
      <c r="B92" s="7" t="s">
        <v>57</v>
      </c>
      <c r="C92" s="8">
        <v>727</v>
      </c>
      <c r="D92" s="9">
        <v>250</v>
      </c>
      <c r="E92" s="8">
        <v>125</v>
      </c>
      <c r="F92" s="10">
        <v>90875</v>
      </c>
      <c r="G92" s="10">
        <v>908.75</v>
      </c>
      <c r="H92" s="10">
        <v>89966.25</v>
      </c>
      <c r="I92" s="11">
        <v>87240</v>
      </c>
      <c r="J92" s="12">
        <v>41645</v>
      </c>
    </row>
    <row r="93" spans="1:10" ht="12.75" x14ac:dyDescent="0.2">
      <c r="A93" s="7" t="s">
        <v>80</v>
      </c>
      <c r="B93" s="7" t="s">
        <v>57</v>
      </c>
      <c r="C93" s="8">
        <v>787</v>
      </c>
      <c r="D93" s="9">
        <v>250</v>
      </c>
      <c r="E93" s="8">
        <v>125</v>
      </c>
      <c r="F93" s="10">
        <v>98375</v>
      </c>
      <c r="G93" s="10">
        <v>983.75</v>
      </c>
      <c r="H93" s="10">
        <v>97391.25</v>
      </c>
      <c r="I93" s="11">
        <v>94440</v>
      </c>
      <c r="J93" s="12">
        <v>41645</v>
      </c>
    </row>
    <row r="94" spans="1:10" ht="12.75" x14ac:dyDescent="0.2">
      <c r="A94" s="7" t="s">
        <v>81</v>
      </c>
      <c r="B94" s="7" t="s">
        <v>57</v>
      </c>
      <c r="C94" s="8">
        <v>986</v>
      </c>
      <c r="D94" s="9">
        <v>250</v>
      </c>
      <c r="E94" s="8">
        <v>300</v>
      </c>
      <c r="F94" s="10">
        <v>295800</v>
      </c>
      <c r="G94" s="10">
        <v>2958</v>
      </c>
      <c r="H94" s="10">
        <v>292842</v>
      </c>
      <c r="I94" s="11">
        <v>246500</v>
      </c>
      <c r="J94" s="12">
        <v>41648</v>
      </c>
    </row>
    <row r="95" spans="1:10" ht="12.75" x14ac:dyDescent="0.2">
      <c r="A95" s="7" t="s">
        <v>82</v>
      </c>
      <c r="B95" s="7" t="s">
        <v>57</v>
      </c>
      <c r="C95" s="8">
        <v>494</v>
      </c>
      <c r="D95" s="9">
        <v>250</v>
      </c>
      <c r="E95" s="8">
        <v>300</v>
      </c>
      <c r="F95" s="10">
        <v>148200</v>
      </c>
      <c r="G95" s="10">
        <v>1482</v>
      </c>
      <c r="H95" s="10">
        <v>146718</v>
      </c>
      <c r="I95" s="11">
        <v>123500</v>
      </c>
      <c r="J95" s="12">
        <v>41284</v>
      </c>
    </row>
    <row r="96" spans="1:10" ht="12.75" x14ac:dyDescent="0.2">
      <c r="A96" s="7" t="s">
        <v>83</v>
      </c>
      <c r="B96" s="7" t="s">
        <v>57</v>
      </c>
      <c r="C96" s="8">
        <v>1397</v>
      </c>
      <c r="D96" s="9">
        <v>250</v>
      </c>
      <c r="E96" s="8">
        <v>350</v>
      </c>
      <c r="F96" s="10">
        <v>488950</v>
      </c>
      <c r="G96" s="10">
        <v>4889.5</v>
      </c>
      <c r="H96" s="10">
        <v>484060.5</v>
      </c>
      <c r="I96" s="11">
        <v>363220</v>
      </c>
      <c r="J96" s="12">
        <v>41649</v>
      </c>
    </row>
    <row r="97" spans="1:10" ht="12.75" x14ac:dyDescent="0.2">
      <c r="A97" s="7" t="s">
        <v>80</v>
      </c>
      <c r="B97" s="7" t="s">
        <v>57</v>
      </c>
      <c r="C97" s="8">
        <v>1744</v>
      </c>
      <c r="D97" s="9">
        <v>250</v>
      </c>
      <c r="E97" s="8">
        <v>125</v>
      </c>
      <c r="F97" s="10">
        <v>218000</v>
      </c>
      <c r="G97" s="10">
        <v>2180</v>
      </c>
      <c r="H97" s="10">
        <v>215820</v>
      </c>
      <c r="I97" s="11">
        <v>209280</v>
      </c>
      <c r="J97" s="12">
        <v>41650</v>
      </c>
    </row>
    <row r="98" spans="1:10" ht="12.75" x14ac:dyDescent="0.2">
      <c r="A98" s="7" t="s">
        <v>51</v>
      </c>
      <c r="B98" s="7" t="s">
        <v>57</v>
      </c>
      <c r="C98" s="8">
        <v>1989</v>
      </c>
      <c r="D98" s="9">
        <v>260</v>
      </c>
      <c r="E98" s="8">
        <v>12</v>
      </c>
      <c r="F98" s="10">
        <v>23868</v>
      </c>
      <c r="G98" s="10">
        <v>238.68</v>
      </c>
      <c r="H98" s="10">
        <v>23629.32</v>
      </c>
      <c r="I98" s="11">
        <v>5967</v>
      </c>
      <c r="J98" s="12">
        <v>41283</v>
      </c>
    </row>
    <row r="99" spans="1:10" ht="12.75" x14ac:dyDescent="0.2">
      <c r="A99" s="7" t="s">
        <v>84</v>
      </c>
      <c r="B99" s="7" t="s">
        <v>57</v>
      </c>
      <c r="C99" s="8">
        <v>321</v>
      </c>
      <c r="D99" s="9">
        <v>260</v>
      </c>
      <c r="E99" s="8">
        <v>15</v>
      </c>
      <c r="F99" s="10">
        <v>4815</v>
      </c>
      <c r="G99" s="10">
        <v>48.15</v>
      </c>
      <c r="H99" s="10">
        <v>4766.8500000000004</v>
      </c>
      <c r="I99" s="11">
        <v>3210</v>
      </c>
      <c r="J99" s="12">
        <v>41285</v>
      </c>
    </row>
    <row r="100" spans="1:10" ht="12.75" x14ac:dyDescent="0.2">
      <c r="A100" s="7" t="s">
        <v>85</v>
      </c>
      <c r="B100" s="7" t="s">
        <v>57</v>
      </c>
      <c r="C100" s="8">
        <v>742.5</v>
      </c>
      <c r="D100" s="9">
        <v>3</v>
      </c>
      <c r="E100" s="8">
        <v>125</v>
      </c>
      <c r="F100" s="10">
        <v>92812.5</v>
      </c>
      <c r="G100" s="10">
        <v>1856.25</v>
      </c>
      <c r="H100" s="10">
        <v>90956.25</v>
      </c>
      <c r="I100" s="11">
        <v>89100</v>
      </c>
      <c r="J100" s="12">
        <v>41643</v>
      </c>
    </row>
    <row r="101" spans="1:10" ht="12.75" x14ac:dyDescent="0.2">
      <c r="A101" s="7" t="s">
        <v>62</v>
      </c>
      <c r="B101" s="7" t="s">
        <v>57</v>
      </c>
      <c r="C101" s="8">
        <v>1295</v>
      </c>
      <c r="D101" s="9">
        <v>3</v>
      </c>
      <c r="E101" s="8">
        <v>12</v>
      </c>
      <c r="F101" s="10">
        <v>15540</v>
      </c>
      <c r="G101" s="10">
        <v>310.8</v>
      </c>
      <c r="H101" s="10">
        <v>15229.2</v>
      </c>
      <c r="I101" s="11">
        <v>3885</v>
      </c>
      <c r="J101" s="12">
        <v>41649</v>
      </c>
    </row>
    <row r="102" spans="1:10" ht="12.75" x14ac:dyDescent="0.2">
      <c r="A102" s="7" t="s">
        <v>86</v>
      </c>
      <c r="B102" s="7" t="s">
        <v>57</v>
      </c>
      <c r="C102" s="8">
        <v>214</v>
      </c>
      <c r="D102" s="9">
        <v>3</v>
      </c>
      <c r="E102" s="8">
        <v>300</v>
      </c>
      <c r="F102" s="10">
        <v>64200</v>
      </c>
      <c r="G102" s="10">
        <v>1284</v>
      </c>
      <c r="H102" s="10">
        <v>62916</v>
      </c>
      <c r="I102" s="11">
        <v>53500</v>
      </c>
      <c r="J102" s="12">
        <v>41284</v>
      </c>
    </row>
    <row r="103" spans="1:10" ht="12.75" x14ac:dyDescent="0.2">
      <c r="A103" s="7" t="s">
        <v>67</v>
      </c>
      <c r="B103" s="7" t="s">
        <v>57</v>
      </c>
      <c r="C103" s="8">
        <v>2145</v>
      </c>
      <c r="D103" s="9">
        <v>3</v>
      </c>
      <c r="E103" s="8">
        <v>7</v>
      </c>
      <c r="F103" s="10">
        <v>15015</v>
      </c>
      <c r="G103" s="10">
        <v>300.3</v>
      </c>
      <c r="H103" s="10">
        <v>14714.7</v>
      </c>
      <c r="I103" s="11">
        <v>10725</v>
      </c>
      <c r="J103" s="12">
        <v>41285</v>
      </c>
    </row>
    <row r="104" spans="1:10" ht="12.75" x14ac:dyDescent="0.2">
      <c r="A104" s="7" t="s">
        <v>11</v>
      </c>
      <c r="B104" s="7" t="s">
        <v>57</v>
      </c>
      <c r="C104" s="8">
        <v>2852</v>
      </c>
      <c r="D104" s="9">
        <v>3</v>
      </c>
      <c r="E104" s="8">
        <v>350</v>
      </c>
      <c r="F104" s="10">
        <v>998200</v>
      </c>
      <c r="G104" s="10">
        <v>19964</v>
      </c>
      <c r="H104" s="10">
        <v>978236</v>
      </c>
      <c r="I104" s="11">
        <v>741520</v>
      </c>
      <c r="J104" s="12">
        <v>41651</v>
      </c>
    </row>
    <row r="105" spans="1:10" ht="12.75" x14ac:dyDescent="0.2">
      <c r="A105" s="7" t="s">
        <v>87</v>
      </c>
      <c r="B105" s="7" t="s">
        <v>57</v>
      </c>
      <c r="C105" s="8">
        <v>1142</v>
      </c>
      <c r="D105" s="9">
        <v>5</v>
      </c>
      <c r="E105" s="8">
        <v>12</v>
      </c>
      <c r="F105" s="10">
        <v>13704</v>
      </c>
      <c r="G105" s="10">
        <v>274.08</v>
      </c>
      <c r="H105" s="10">
        <v>13429.92</v>
      </c>
      <c r="I105" s="11">
        <v>3426</v>
      </c>
      <c r="J105" s="12">
        <v>41645</v>
      </c>
    </row>
    <row r="106" spans="1:10" ht="12.75" x14ac:dyDescent="0.2">
      <c r="A106" s="7" t="s">
        <v>88</v>
      </c>
      <c r="B106" s="7" t="s">
        <v>57</v>
      </c>
      <c r="C106" s="8">
        <v>1566</v>
      </c>
      <c r="D106" s="9">
        <v>5</v>
      </c>
      <c r="E106" s="8">
        <v>20</v>
      </c>
      <c r="F106" s="10">
        <v>31320</v>
      </c>
      <c r="G106" s="10">
        <v>626.4</v>
      </c>
      <c r="H106" s="10">
        <v>30693.599999999999</v>
      </c>
      <c r="I106" s="11">
        <v>15660</v>
      </c>
      <c r="J106" s="12">
        <v>41649</v>
      </c>
    </row>
    <row r="107" spans="1:10" ht="12.75" x14ac:dyDescent="0.2">
      <c r="A107" s="7" t="s">
        <v>89</v>
      </c>
      <c r="B107" s="7" t="s">
        <v>57</v>
      </c>
      <c r="C107" s="8">
        <v>690</v>
      </c>
      <c r="D107" s="9">
        <v>5</v>
      </c>
      <c r="E107" s="8">
        <v>12</v>
      </c>
      <c r="F107" s="10">
        <v>8280</v>
      </c>
      <c r="G107" s="10">
        <v>165.6</v>
      </c>
      <c r="H107" s="10">
        <v>8114.4</v>
      </c>
      <c r="I107" s="11">
        <v>2070</v>
      </c>
      <c r="J107" s="12">
        <v>41650</v>
      </c>
    </row>
    <row r="108" spans="1:10" ht="12.75" x14ac:dyDescent="0.2">
      <c r="A108" s="7" t="s">
        <v>90</v>
      </c>
      <c r="B108" s="7" t="s">
        <v>57</v>
      </c>
      <c r="C108" s="8">
        <v>1660</v>
      </c>
      <c r="D108" s="9">
        <v>5</v>
      </c>
      <c r="E108" s="8">
        <v>125</v>
      </c>
      <c r="F108" s="10">
        <v>207500</v>
      </c>
      <c r="G108" s="10">
        <v>4150</v>
      </c>
      <c r="H108" s="10">
        <v>203350</v>
      </c>
      <c r="I108" s="11">
        <v>199200</v>
      </c>
      <c r="J108" s="12">
        <v>41285</v>
      </c>
    </row>
    <row r="109" spans="1:10" ht="12.75" x14ac:dyDescent="0.2">
      <c r="A109" s="7" t="s">
        <v>36</v>
      </c>
      <c r="B109" s="7" t="s">
        <v>57</v>
      </c>
      <c r="C109" s="8">
        <v>2363</v>
      </c>
      <c r="D109" s="9">
        <v>10</v>
      </c>
      <c r="E109" s="8">
        <v>15</v>
      </c>
      <c r="F109" s="10">
        <v>35445</v>
      </c>
      <c r="G109" s="10">
        <v>708.9</v>
      </c>
      <c r="H109" s="10">
        <v>34736.1</v>
      </c>
      <c r="I109" s="11">
        <v>23630</v>
      </c>
      <c r="J109" s="12">
        <v>41641</v>
      </c>
    </row>
    <row r="110" spans="1:10" ht="12.75" x14ac:dyDescent="0.2">
      <c r="A110" s="7" t="s">
        <v>91</v>
      </c>
      <c r="B110" s="7" t="s">
        <v>57</v>
      </c>
      <c r="C110" s="8">
        <v>918</v>
      </c>
      <c r="D110" s="9">
        <v>10</v>
      </c>
      <c r="E110" s="8">
        <v>300</v>
      </c>
      <c r="F110" s="10">
        <v>275400</v>
      </c>
      <c r="G110" s="10">
        <v>5508</v>
      </c>
      <c r="H110" s="10">
        <v>269892</v>
      </c>
      <c r="I110" s="11">
        <v>229500</v>
      </c>
      <c r="J110" s="12">
        <v>41644</v>
      </c>
    </row>
    <row r="111" spans="1:10" ht="12.75" x14ac:dyDescent="0.2">
      <c r="A111" s="7" t="s">
        <v>92</v>
      </c>
      <c r="B111" s="7" t="s">
        <v>57</v>
      </c>
      <c r="C111" s="8">
        <v>1728</v>
      </c>
      <c r="D111" s="9">
        <v>10</v>
      </c>
      <c r="E111" s="8">
        <v>300</v>
      </c>
      <c r="F111" s="10">
        <v>518400</v>
      </c>
      <c r="G111" s="10">
        <v>10368</v>
      </c>
      <c r="H111" s="10">
        <v>508032</v>
      </c>
      <c r="I111" s="11">
        <v>432000</v>
      </c>
      <c r="J111" s="12">
        <v>41644</v>
      </c>
    </row>
    <row r="112" spans="1:10" ht="12.75" x14ac:dyDescent="0.2">
      <c r="A112" s="7" t="s">
        <v>35</v>
      </c>
      <c r="B112" s="7" t="s">
        <v>57</v>
      </c>
      <c r="C112" s="8">
        <v>1142</v>
      </c>
      <c r="D112" s="9">
        <v>10</v>
      </c>
      <c r="E112" s="8">
        <v>12</v>
      </c>
      <c r="F112" s="10">
        <v>13704</v>
      </c>
      <c r="G112" s="10">
        <v>274.08</v>
      </c>
      <c r="H112" s="10">
        <v>13429.92</v>
      </c>
      <c r="I112" s="11">
        <v>3426</v>
      </c>
      <c r="J112" s="12">
        <v>41645</v>
      </c>
    </row>
    <row r="113" spans="1:10" ht="12.75" x14ac:dyDescent="0.2">
      <c r="A113" s="7" t="s">
        <v>74</v>
      </c>
      <c r="B113" s="7" t="s">
        <v>57</v>
      </c>
      <c r="C113" s="8">
        <v>662</v>
      </c>
      <c r="D113" s="9">
        <v>10</v>
      </c>
      <c r="E113" s="8">
        <v>125</v>
      </c>
      <c r="F113" s="10">
        <v>82750</v>
      </c>
      <c r="G113" s="10">
        <v>1655</v>
      </c>
      <c r="H113" s="10">
        <v>81095</v>
      </c>
      <c r="I113" s="11">
        <v>79440</v>
      </c>
      <c r="J113" s="12">
        <v>41645</v>
      </c>
    </row>
    <row r="114" spans="1:10" ht="12.75" x14ac:dyDescent="0.2">
      <c r="A114" s="7" t="s">
        <v>28</v>
      </c>
      <c r="B114" s="7" t="s">
        <v>57</v>
      </c>
      <c r="C114" s="8">
        <v>1295</v>
      </c>
      <c r="D114" s="9">
        <v>10</v>
      </c>
      <c r="E114" s="8">
        <v>12</v>
      </c>
      <c r="F114" s="10">
        <v>15540</v>
      </c>
      <c r="G114" s="10">
        <v>310.8</v>
      </c>
      <c r="H114" s="10">
        <v>15229.2</v>
      </c>
      <c r="I114" s="11">
        <v>3885</v>
      </c>
      <c r="J114" s="12">
        <v>41649</v>
      </c>
    </row>
    <row r="115" spans="1:10" ht="12.75" x14ac:dyDescent="0.2">
      <c r="A115" s="7" t="s">
        <v>93</v>
      </c>
      <c r="B115" s="7" t="s">
        <v>57</v>
      </c>
      <c r="C115" s="8">
        <v>809</v>
      </c>
      <c r="D115" s="9">
        <v>10</v>
      </c>
      <c r="E115" s="8">
        <v>125</v>
      </c>
      <c r="F115" s="10">
        <v>101125</v>
      </c>
      <c r="G115" s="10">
        <v>2022.5</v>
      </c>
      <c r="H115" s="10">
        <v>99102.5</v>
      </c>
      <c r="I115" s="11">
        <v>97080</v>
      </c>
      <c r="J115" s="12">
        <v>41284</v>
      </c>
    </row>
    <row r="116" spans="1:10" ht="12.75" x14ac:dyDescent="0.2">
      <c r="A116" s="7" t="s">
        <v>74</v>
      </c>
      <c r="B116" s="7" t="s">
        <v>57</v>
      </c>
      <c r="C116" s="8">
        <v>2145</v>
      </c>
      <c r="D116" s="9">
        <v>10</v>
      </c>
      <c r="E116" s="8">
        <v>125</v>
      </c>
      <c r="F116" s="10">
        <v>268125</v>
      </c>
      <c r="G116" s="10">
        <v>5362.5</v>
      </c>
      <c r="H116" s="10">
        <v>262762.5</v>
      </c>
      <c r="I116" s="11">
        <v>257400</v>
      </c>
      <c r="J116" s="12">
        <v>41284</v>
      </c>
    </row>
    <row r="117" spans="1:10" ht="12.75" x14ac:dyDescent="0.2">
      <c r="A117" s="7" t="s">
        <v>94</v>
      </c>
      <c r="B117" s="7" t="s">
        <v>57</v>
      </c>
      <c r="C117" s="8">
        <v>1785</v>
      </c>
      <c r="D117" s="9">
        <v>10</v>
      </c>
      <c r="E117" s="8">
        <v>12</v>
      </c>
      <c r="F117" s="10">
        <v>21420</v>
      </c>
      <c r="G117" s="10">
        <v>428.4</v>
      </c>
      <c r="H117" s="10">
        <v>20991.599999999999</v>
      </c>
      <c r="I117" s="11">
        <v>5355</v>
      </c>
      <c r="J117" s="12">
        <v>41285</v>
      </c>
    </row>
    <row r="118" spans="1:10" ht="12.75" x14ac:dyDescent="0.2">
      <c r="A118" s="7" t="s">
        <v>95</v>
      </c>
      <c r="B118" s="7" t="s">
        <v>57</v>
      </c>
      <c r="C118" s="8">
        <v>1916</v>
      </c>
      <c r="D118" s="9">
        <v>10</v>
      </c>
      <c r="E118" s="8">
        <v>300</v>
      </c>
      <c r="F118" s="10">
        <v>574800</v>
      </c>
      <c r="G118" s="10">
        <v>11496</v>
      </c>
      <c r="H118" s="10">
        <v>563304</v>
      </c>
      <c r="I118" s="11">
        <v>479000</v>
      </c>
      <c r="J118" s="12">
        <v>41651</v>
      </c>
    </row>
    <row r="119" spans="1:10" ht="12.75" x14ac:dyDescent="0.2">
      <c r="A119" s="7" t="s">
        <v>26</v>
      </c>
      <c r="B119" s="7" t="s">
        <v>57</v>
      </c>
      <c r="C119" s="8">
        <v>2852</v>
      </c>
      <c r="D119" s="9">
        <v>10</v>
      </c>
      <c r="E119" s="8">
        <v>350</v>
      </c>
      <c r="F119" s="10">
        <v>998200</v>
      </c>
      <c r="G119" s="10">
        <v>19964</v>
      </c>
      <c r="H119" s="10">
        <v>978236</v>
      </c>
      <c r="I119" s="11">
        <v>741520</v>
      </c>
      <c r="J119" s="12">
        <v>41651</v>
      </c>
    </row>
    <row r="120" spans="1:10" ht="12.75" x14ac:dyDescent="0.2">
      <c r="A120" s="7" t="s">
        <v>96</v>
      </c>
      <c r="B120" s="7" t="s">
        <v>57</v>
      </c>
      <c r="C120" s="8">
        <v>2729</v>
      </c>
      <c r="D120" s="9">
        <v>10</v>
      </c>
      <c r="E120" s="8">
        <v>125</v>
      </c>
      <c r="F120" s="10">
        <v>341125</v>
      </c>
      <c r="G120" s="10">
        <v>6822.5</v>
      </c>
      <c r="H120" s="10">
        <v>334302.5</v>
      </c>
      <c r="I120" s="11">
        <v>327480</v>
      </c>
      <c r="J120" s="12">
        <v>41651</v>
      </c>
    </row>
    <row r="121" spans="1:10" ht="12.75" x14ac:dyDescent="0.2">
      <c r="A121" s="7" t="s">
        <v>71</v>
      </c>
      <c r="B121" s="7" t="s">
        <v>57</v>
      </c>
      <c r="C121" s="8">
        <v>1925</v>
      </c>
      <c r="D121" s="9">
        <v>10</v>
      </c>
      <c r="E121" s="8">
        <v>15</v>
      </c>
      <c r="F121" s="10">
        <v>28875</v>
      </c>
      <c r="G121" s="10">
        <v>577.5</v>
      </c>
      <c r="H121" s="10">
        <v>28297.5</v>
      </c>
      <c r="I121" s="11">
        <v>19250</v>
      </c>
      <c r="J121" s="12">
        <v>41286</v>
      </c>
    </row>
    <row r="122" spans="1:10" ht="12.75" x14ac:dyDescent="0.2">
      <c r="A122" s="7" t="s">
        <v>34</v>
      </c>
      <c r="B122" s="7" t="s">
        <v>57</v>
      </c>
      <c r="C122" s="8">
        <v>2013</v>
      </c>
      <c r="D122" s="9">
        <v>10</v>
      </c>
      <c r="E122" s="8">
        <v>7</v>
      </c>
      <c r="F122" s="10">
        <v>14091</v>
      </c>
      <c r="G122" s="10">
        <v>281.82</v>
      </c>
      <c r="H122" s="10">
        <v>13809.18</v>
      </c>
      <c r="I122" s="11">
        <v>10065</v>
      </c>
      <c r="J122" s="12">
        <v>41286</v>
      </c>
    </row>
    <row r="123" spans="1:10" ht="12.75" x14ac:dyDescent="0.2">
      <c r="A123" s="7" t="s">
        <v>94</v>
      </c>
      <c r="B123" s="7" t="s">
        <v>57</v>
      </c>
      <c r="C123" s="8">
        <v>1055</v>
      </c>
      <c r="D123" s="9">
        <v>10</v>
      </c>
      <c r="E123" s="8">
        <v>12</v>
      </c>
      <c r="F123" s="10">
        <v>12660</v>
      </c>
      <c r="G123" s="10">
        <v>253.2</v>
      </c>
      <c r="H123" s="10">
        <v>12406.8</v>
      </c>
      <c r="I123" s="11">
        <v>3165</v>
      </c>
      <c r="J123" s="12">
        <v>41651</v>
      </c>
    </row>
    <row r="124" spans="1:10" ht="12.75" x14ac:dyDescent="0.2">
      <c r="A124" s="7" t="s">
        <v>97</v>
      </c>
      <c r="B124" s="7" t="s">
        <v>57</v>
      </c>
      <c r="C124" s="8">
        <v>1084</v>
      </c>
      <c r="D124" s="9">
        <v>10</v>
      </c>
      <c r="E124" s="8">
        <v>12</v>
      </c>
      <c r="F124" s="10">
        <v>13008</v>
      </c>
      <c r="G124" s="10">
        <v>260.16000000000003</v>
      </c>
      <c r="H124" s="10">
        <v>12747.84</v>
      </c>
      <c r="I124" s="11">
        <v>3252</v>
      </c>
      <c r="J124" s="12">
        <v>41651</v>
      </c>
    </row>
    <row r="125" spans="1:10" ht="12.75" x14ac:dyDescent="0.2">
      <c r="A125" s="7" t="s">
        <v>98</v>
      </c>
      <c r="B125" s="7" t="s">
        <v>57</v>
      </c>
      <c r="C125" s="8">
        <v>1566</v>
      </c>
      <c r="D125" s="9">
        <v>120</v>
      </c>
      <c r="E125" s="8">
        <v>20</v>
      </c>
      <c r="F125" s="10">
        <v>31320</v>
      </c>
      <c r="G125" s="10">
        <v>626.4</v>
      </c>
      <c r="H125" s="10">
        <v>30693.599999999999</v>
      </c>
      <c r="I125" s="11">
        <v>15660</v>
      </c>
      <c r="J125" s="12">
        <v>41649</v>
      </c>
    </row>
    <row r="126" spans="1:10" ht="12.75" x14ac:dyDescent="0.2">
      <c r="A126" s="7" t="s">
        <v>40</v>
      </c>
      <c r="B126" s="7" t="s">
        <v>57</v>
      </c>
      <c r="C126" s="8">
        <v>2966</v>
      </c>
      <c r="D126" s="9">
        <v>120</v>
      </c>
      <c r="E126" s="8">
        <v>350</v>
      </c>
      <c r="F126" s="10">
        <v>1038100</v>
      </c>
      <c r="G126" s="10">
        <v>20762</v>
      </c>
      <c r="H126" s="10">
        <v>1017338</v>
      </c>
      <c r="I126" s="11">
        <v>771160</v>
      </c>
      <c r="J126" s="12">
        <v>41284</v>
      </c>
    </row>
    <row r="127" spans="1:10" ht="12.75" x14ac:dyDescent="0.2">
      <c r="A127" s="7" t="s">
        <v>40</v>
      </c>
      <c r="B127" s="7" t="s">
        <v>57</v>
      </c>
      <c r="C127" s="8">
        <v>2877</v>
      </c>
      <c r="D127" s="9">
        <v>120</v>
      </c>
      <c r="E127" s="8">
        <v>350</v>
      </c>
      <c r="F127" s="10">
        <v>1006950</v>
      </c>
      <c r="G127" s="10">
        <v>20139</v>
      </c>
      <c r="H127" s="10">
        <v>986811</v>
      </c>
      <c r="I127" s="11">
        <v>748020</v>
      </c>
      <c r="J127" s="12">
        <v>41649</v>
      </c>
    </row>
    <row r="128" spans="1:10" ht="12.75" x14ac:dyDescent="0.2">
      <c r="A128" s="7" t="s">
        <v>99</v>
      </c>
      <c r="B128" s="7" t="s">
        <v>57</v>
      </c>
      <c r="C128" s="8">
        <v>809</v>
      </c>
      <c r="D128" s="9">
        <v>120</v>
      </c>
      <c r="E128" s="8">
        <v>125</v>
      </c>
      <c r="F128" s="10">
        <v>101125</v>
      </c>
      <c r="G128" s="10">
        <v>2022.5</v>
      </c>
      <c r="H128" s="10">
        <v>99102.5</v>
      </c>
      <c r="I128" s="11">
        <v>97080</v>
      </c>
      <c r="J128" s="12">
        <v>41284</v>
      </c>
    </row>
    <row r="129" spans="1:10" ht="12.75" x14ac:dyDescent="0.2">
      <c r="A129" s="7" t="s">
        <v>100</v>
      </c>
      <c r="B129" s="7" t="s">
        <v>57</v>
      </c>
      <c r="C129" s="8">
        <v>2145</v>
      </c>
      <c r="D129" s="9">
        <v>120</v>
      </c>
      <c r="E129" s="8">
        <v>125</v>
      </c>
      <c r="F129" s="10">
        <v>268125</v>
      </c>
      <c r="G129" s="10">
        <v>5362.5</v>
      </c>
      <c r="H129" s="10">
        <v>262762.5</v>
      </c>
      <c r="I129" s="11">
        <v>257400</v>
      </c>
      <c r="J129" s="12">
        <v>41284</v>
      </c>
    </row>
    <row r="130" spans="1:10" ht="12.75" x14ac:dyDescent="0.2">
      <c r="A130" s="7" t="s">
        <v>101</v>
      </c>
      <c r="B130" s="7" t="s">
        <v>57</v>
      </c>
      <c r="C130" s="8">
        <v>1055</v>
      </c>
      <c r="D130" s="9">
        <v>120</v>
      </c>
      <c r="E130" s="8">
        <v>12</v>
      </c>
      <c r="F130" s="10">
        <v>12660</v>
      </c>
      <c r="G130" s="10">
        <v>253.2</v>
      </c>
      <c r="H130" s="10">
        <v>12406.8</v>
      </c>
      <c r="I130" s="11">
        <v>3165</v>
      </c>
      <c r="J130" s="12">
        <v>41651</v>
      </c>
    </row>
    <row r="131" spans="1:10" ht="12.75" x14ac:dyDescent="0.2">
      <c r="A131" s="7" t="s">
        <v>37</v>
      </c>
      <c r="B131" s="7" t="s">
        <v>57</v>
      </c>
      <c r="C131" s="8">
        <v>544</v>
      </c>
      <c r="D131" s="9">
        <v>120</v>
      </c>
      <c r="E131" s="8">
        <v>20</v>
      </c>
      <c r="F131" s="10">
        <v>10880</v>
      </c>
      <c r="G131" s="10">
        <v>217.6</v>
      </c>
      <c r="H131" s="10">
        <v>10662.4</v>
      </c>
      <c r="I131" s="11">
        <v>5440</v>
      </c>
      <c r="J131" s="12">
        <v>41286</v>
      </c>
    </row>
    <row r="132" spans="1:10" ht="12.75" x14ac:dyDescent="0.2">
      <c r="A132" s="7" t="s">
        <v>102</v>
      </c>
      <c r="B132" s="7" t="s">
        <v>57</v>
      </c>
      <c r="C132" s="8">
        <v>1084</v>
      </c>
      <c r="D132" s="9">
        <v>120</v>
      </c>
      <c r="E132" s="8">
        <v>12</v>
      </c>
      <c r="F132" s="10">
        <v>13008</v>
      </c>
      <c r="G132" s="10">
        <v>260.16000000000003</v>
      </c>
      <c r="H132" s="10">
        <v>12747.84</v>
      </c>
      <c r="I132" s="11">
        <v>3252</v>
      </c>
      <c r="J132" s="12">
        <v>41651</v>
      </c>
    </row>
    <row r="133" spans="1:10" ht="12.75" x14ac:dyDescent="0.2">
      <c r="A133" s="7" t="s">
        <v>103</v>
      </c>
      <c r="B133" s="7" t="s">
        <v>57</v>
      </c>
      <c r="C133" s="8">
        <v>662</v>
      </c>
      <c r="D133" s="9">
        <v>250</v>
      </c>
      <c r="E133" s="8">
        <v>125</v>
      </c>
      <c r="F133" s="10">
        <v>82750</v>
      </c>
      <c r="G133" s="10">
        <v>1655</v>
      </c>
      <c r="H133" s="10">
        <v>81095</v>
      </c>
      <c r="I133" s="11">
        <v>79440</v>
      </c>
      <c r="J133" s="12">
        <v>41645</v>
      </c>
    </row>
    <row r="134" spans="1:10" ht="12.75" x14ac:dyDescent="0.2">
      <c r="A134" s="7" t="s">
        <v>81</v>
      </c>
      <c r="B134" s="7" t="s">
        <v>57</v>
      </c>
      <c r="C134" s="8">
        <v>214</v>
      </c>
      <c r="D134" s="9">
        <v>250</v>
      </c>
      <c r="E134" s="8">
        <v>300</v>
      </c>
      <c r="F134" s="10">
        <v>64200</v>
      </c>
      <c r="G134" s="10">
        <v>1284</v>
      </c>
      <c r="H134" s="10">
        <v>62916</v>
      </c>
      <c r="I134" s="11">
        <v>53500</v>
      </c>
      <c r="J134" s="12">
        <v>41284</v>
      </c>
    </row>
    <row r="135" spans="1:10" ht="12.75" x14ac:dyDescent="0.2">
      <c r="A135" s="7" t="s">
        <v>78</v>
      </c>
      <c r="B135" s="7" t="s">
        <v>57</v>
      </c>
      <c r="C135" s="8">
        <v>2877</v>
      </c>
      <c r="D135" s="9">
        <v>250</v>
      </c>
      <c r="E135" s="8">
        <v>350</v>
      </c>
      <c r="F135" s="10">
        <v>1006950</v>
      </c>
      <c r="G135" s="10">
        <v>20139</v>
      </c>
      <c r="H135" s="10">
        <v>986811</v>
      </c>
      <c r="I135" s="11">
        <v>748020</v>
      </c>
      <c r="J135" s="12">
        <v>41649</v>
      </c>
    </row>
    <row r="136" spans="1:10" ht="12.75" x14ac:dyDescent="0.2">
      <c r="A136" s="7" t="s">
        <v>104</v>
      </c>
      <c r="B136" s="7" t="s">
        <v>57</v>
      </c>
      <c r="C136" s="8">
        <v>2729</v>
      </c>
      <c r="D136" s="9">
        <v>250</v>
      </c>
      <c r="E136" s="8">
        <v>125</v>
      </c>
      <c r="F136" s="10">
        <v>341125</v>
      </c>
      <c r="G136" s="10">
        <v>6822.5</v>
      </c>
      <c r="H136" s="10">
        <v>334302.5</v>
      </c>
      <c r="I136" s="11">
        <v>327480</v>
      </c>
      <c r="J136" s="12">
        <v>41651</v>
      </c>
    </row>
    <row r="137" spans="1:10" ht="12.75" x14ac:dyDescent="0.2">
      <c r="A137" s="7" t="s">
        <v>105</v>
      </c>
      <c r="B137" s="7" t="s">
        <v>57</v>
      </c>
      <c r="C137" s="8">
        <v>266</v>
      </c>
      <c r="D137" s="9">
        <v>250</v>
      </c>
      <c r="E137" s="8">
        <v>350</v>
      </c>
      <c r="F137" s="10">
        <v>93100</v>
      </c>
      <c r="G137" s="10">
        <v>1862</v>
      </c>
      <c r="H137" s="10">
        <v>91238</v>
      </c>
      <c r="I137" s="11">
        <v>69160</v>
      </c>
      <c r="J137" s="12">
        <v>41286</v>
      </c>
    </row>
    <row r="138" spans="1:10" ht="12.75" x14ac:dyDescent="0.2">
      <c r="A138" s="7" t="s">
        <v>83</v>
      </c>
      <c r="B138" s="7" t="s">
        <v>57</v>
      </c>
      <c r="C138" s="8">
        <v>1940</v>
      </c>
      <c r="D138" s="9">
        <v>250</v>
      </c>
      <c r="E138" s="8">
        <v>350</v>
      </c>
      <c r="F138" s="10">
        <v>679000</v>
      </c>
      <c r="G138" s="10">
        <v>13580</v>
      </c>
      <c r="H138" s="10">
        <v>665420</v>
      </c>
      <c r="I138" s="11">
        <v>504400</v>
      </c>
      <c r="J138" s="12">
        <v>41286</v>
      </c>
    </row>
    <row r="139" spans="1:10" ht="12.75" x14ac:dyDescent="0.2">
      <c r="A139" s="7" t="s">
        <v>106</v>
      </c>
      <c r="B139" s="7" t="s">
        <v>57</v>
      </c>
      <c r="C139" s="8">
        <v>259</v>
      </c>
      <c r="D139" s="9">
        <v>260</v>
      </c>
      <c r="E139" s="8">
        <v>300</v>
      </c>
      <c r="F139" s="10">
        <v>77700</v>
      </c>
      <c r="G139" s="10">
        <v>1554</v>
      </c>
      <c r="H139" s="10">
        <v>76146</v>
      </c>
      <c r="I139" s="11">
        <v>64750</v>
      </c>
      <c r="J139" s="12">
        <v>41642</v>
      </c>
    </row>
    <row r="140" spans="1:10" ht="12.75" x14ac:dyDescent="0.2">
      <c r="A140" s="7" t="s">
        <v>107</v>
      </c>
      <c r="B140" s="7" t="s">
        <v>57</v>
      </c>
      <c r="C140" s="8">
        <v>1101</v>
      </c>
      <c r="D140" s="9">
        <v>260</v>
      </c>
      <c r="E140" s="8">
        <v>300</v>
      </c>
      <c r="F140" s="10">
        <v>330300</v>
      </c>
      <c r="G140" s="10">
        <v>6606</v>
      </c>
      <c r="H140" s="10">
        <v>323694</v>
      </c>
      <c r="I140" s="11">
        <v>275250</v>
      </c>
      <c r="J140" s="12">
        <v>41642</v>
      </c>
    </row>
    <row r="141" spans="1:10" ht="12.75" x14ac:dyDescent="0.2">
      <c r="A141" s="7" t="s">
        <v>52</v>
      </c>
      <c r="B141" s="7" t="s">
        <v>57</v>
      </c>
      <c r="C141" s="8">
        <v>2276</v>
      </c>
      <c r="D141" s="9">
        <v>260</v>
      </c>
      <c r="E141" s="8">
        <v>125</v>
      </c>
      <c r="F141" s="10">
        <v>284500</v>
      </c>
      <c r="G141" s="10">
        <v>5690</v>
      </c>
      <c r="H141" s="10">
        <v>278810</v>
      </c>
      <c r="I141" s="11">
        <v>273120</v>
      </c>
      <c r="J141" s="12">
        <v>41644</v>
      </c>
    </row>
    <row r="142" spans="1:10" ht="12.75" x14ac:dyDescent="0.2">
      <c r="A142" s="7" t="s">
        <v>53</v>
      </c>
      <c r="B142" s="7" t="s">
        <v>57</v>
      </c>
      <c r="C142" s="8">
        <v>2966</v>
      </c>
      <c r="D142" s="9">
        <v>260</v>
      </c>
      <c r="E142" s="8">
        <v>350</v>
      </c>
      <c r="F142" s="10">
        <v>1038100</v>
      </c>
      <c r="G142" s="10">
        <v>20762</v>
      </c>
      <c r="H142" s="10">
        <v>1017338</v>
      </c>
      <c r="I142" s="11">
        <v>771160</v>
      </c>
      <c r="J142" s="12">
        <v>41284</v>
      </c>
    </row>
    <row r="143" spans="1:10" ht="12.75" x14ac:dyDescent="0.2">
      <c r="A143" s="7" t="s">
        <v>54</v>
      </c>
      <c r="B143" s="7" t="s">
        <v>57</v>
      </c>
      <c r="C143" s="8">
        <v>1236</v>
      </c>
      <c r="D143" s="9">
        <v>260</v>
      </c>
      <c r="E143" s="8">
        <v>20</v>
      </c>
      <c r="F143" s="10">
        <v>24720</v>
      </c>
      <c r="G143" s="10">
        <v>494.4</v>
      </c>
      <c r="H143" s="10">
        <v>24225.599999999999</v>
      </c>
      <c r="I143" s="11">
        <v>12360</v>
      </c>
      <c r="J143" s="12">
        <v>41650</v>
      </c>
    </row>
    <row r="144" spans="1:10" ht="12.75" x14ac:dyDescent="0.2">
      <c r="A144" s="7" t="s">
        <v>50</v>
      </c>
      <c r="B144" s="7" t="s">
        <v>57</v>
      </c>
      <c r="C144" s="8">
        <v>941</v>
      </c>
      <c r="D144" s="9">
        <v>260</v>
      </c>
      <c r="E144" s="8">
        <v>20</v>
      </c>
      <c r="F144" s="10">
        <v>18820</v>
      </c>
      <c r="G144" s="10">
        <v>376.4</v>
      </c>
      <c r="H144" s="10">
        <v>18443.599999999999</v>
      </c>
      <c r="I144" s="11">
        <v>9410</v>
      </c>
      <c r="J144" s="12">
        <v>41650</v>
      </c>
    </row>
    <row r="145" spans="1:10" ht="12.75" x14ac:dyDescent="0.2">
      <c r="A145" s="7" t="s">
        <v>108</v>
      </c>
      <c r="B145" s="7" t="s">
        <v>57</v>
      </c>
      <c r="C145" s="8">
        <v>1916</v>
      </c>
      <c r="D145" s="9">
        <v>260</v>
      </c>
      <c r="E145" s="8">
        <v>300</v>
      </c>
      <c r="F145" s="10">
        <v>574800</v>
      </c>
      <c r="G145" s="10">
        <v>11496</v>
      </c>
      <c r="H145" s="10">
        <v>563304</v>
      </c>
      <c r="I145" s="11">
        <v>479000</v>
      </c>
      <c r="J145" s="12">
        <v>41651</v>
      </c>
    </row>
    <row r="146" spans="1:10" ht="12.75" x14ac:dyDescent="0.2">
      <c r="A146" s="7" t="s">
        <v>109</v>
      </c>
      <c r="B146" s="7" t="s">
        <v>57</v>
      </c>
      <c r="C146" s="8">
        <v>4243.5</v>
      </c>
      <c r="D146" s="9">
        <v>3</v>
      </c>
      <c r="E146" s="8">
        <v>125</v>
      </c>
      <c r="F146" s="10">
        <v>530437.5</v>
      </c>
      <c r="G146" s="10">
        <v>15913.13</v>
      </c>
      <c r="H146" s="10">
        <v>514524.38</v>
      </c>
      <c r="I146" s="11">
        <v>509220</v>
      </c>
      <c r="J146" s="12">
        <v>41643</v>
      </c>
    </row>
    <row r="147" spans="1:10" ht="12.75" x14ac:dyDescent="0.2">
      <c r="A147" s="7" t="s">
        <v>13</v>
      </c>
      <c r="B147" s="7" t="s">
        <v>57</v>
      </c>
      <c r="C147" s="8">
        <v>2580</v>
      </c>
      <c r="D147" s="9">
        <v>3</v>
      </c>
      <c r="E147" s="8">
        <v>20</v>
      </c>
      <c r="F147" s="10">
        <v>51600</v>
      </c>
      <c r="G147" s="10">
        <v>1548</v>
      </c>
      <c r="H147" s="10">
        <v>50052</v>
      </c>
      <c r="I147" s="11">
        <v>25800</v>
      </c>
      <c r="J147" s="12">
        <v>41643</v>
      </c>
    </row>
    <row r="148" spans="1:10" ht="12.75" x14ac:dyDescent="0.2">
      <c r="A148" s="7" t="s">
        <v>86</v>
      </c>
      <c r="B148" s="7" t="s">
        <v>57</v>
      </c>
      <c r="C148" s="8">
        <v>689</v>
      </c>
      <c r="D148" s="9">
        <v>3</v>
      </c>
      <c r="E148" s="8">
        <v>300</v>
      </c>
      <c r="F148" s="10">
        <v>206700</v>
      </c>
      <c r="G148" s="10">
        <v>6201</v>
      </c>
      <c r="H148" s="10">
        <v>200499</v>
      </c>
      <c r="I148" s="11">
        <v>172250</v>
      </c>
      <c r="J148" s="12">
        <v>41645</v>
      </c>
    </row>
    <row r="149" spans="1:10" ht="12.75" x14ac:dyDescent="0.2">
      <c r="A149" s="7" t="s">
        <v>59</v>
      </c>
      <c r="B149" s="7" t="s">
        <v>57</v>
      </c>
      <c r="C149" s="8">
        <v>1947</v>
      </c>
      <c r="D149" s="9">
        <v>3</v>
      </c>
      <c r="E149" s="8">
        <v>12</v>
      </c>
      <c r="F149" s="10">
        <v>23364</v>
      </c>
      <c r="G149" s="10">
        <v>700.92</v>
      </c>
      <c r="H149" s="10">
        <v>22663.08</v>
      </c>
      <c r="I149" s="11">
        <v>5841</v>
      </c>
      <c r="J149" s="12">
        <v>41648</v>
      </c>
    </row>
    <row r="150" spans="1:10" ht="12.75" x14ac:dyDescent="0.2">
      <c r="A150" s="7" t="s">
        <v>62</v>
      </c>
      <c r="B150" s="7" t="s">
        <v>57</v>
      </c>
      <c r="C150" s="8">
        <v>908</v>
      </c>
      <c r="D150" s="9">
        <v>3</v>
      </c>
      <c r="E150" s="8">
        <v>12</v>
      </c>
      <c r="F150" s="10">
        <v>10896</v>
      </c>
      <c r="G150" s="10">
        <v>326.88</v>
      </c>
      <c r="H150" s="10">
        <v>10569.12</v>
      </c>
      <c r="I150" s="11">
        <v>2724</v>
      </c>
      <c r="J150" s="12">
        <v>41286</v>
      </c>
    </row>
    <row r="151" spans="1:10" ht="12.75" x14ac:dyDescent="0.2">
      <c r="A151" s="7" t="s">
        <v>24</v>
      </c>
      <c r="B151" s="7" t="s">
        <v>57</v>
      </c>
      <c r="C151" s="8">
        <v>1958</v>
      </c>
      <c r="D151" s="9">
        <v>5</v>
      </c>
      <c r="E151" s="8">
        <v>7</v>
      </c>
      <c r="F151" s="10">
        <v>13706</v>
      </c>
      <c r="G151" s="10">
        <v>411.18</v>
      </c>
      <c r="H151" s="10">
        <v>13294.82</v>
      </c>
      <c r="I151" s="11">
        <v>9790</v>
      </c>
      <c r="J151" s="12">
        <v>41641</v>
      </c>
    </row>
    <row r="152" spans="1:10" ht="12.75" x14ac:dyDescent="0.2">
      <c r="A152" s="7" t="s">
        <v>110</v>
      </c>
      <c r="B152" s="7" t="s">
        <v>57</v>
      </c>
      <c r="C152" s="8">
        <v>1901</v>
      </c>
      <c r="D152" s="9">
        <v>5</v>
      </c>
      <c r="E152" s="8">
        <v>12</v>
      </c>
      <c r="F152" s="10">
        <v>22812</v>
      </c>
      <c r="G152" s="10">
        <v>684.36</v>
      </c>
      <c r="H152" s="10">
        <v>22127.64</v>
      </c>
      <c r="I152" s="11">
        <v>5703</v>
      </c>
      <c r="J152" s="12">
        <v>41645</v>
      </c>
    </row>
    <row r="153" spans="1:10" ht="12.75" x14ac:dyDescent="0.2">
      <c r="A153" s="7" t="s">
        <v>19</v>
      </c>
      <c r="B153" s="7" t="s">
        <v>57</v>
      </c>
      <c r="C153" s="8">
        <v>544</v>
      </c>
      <c r="D153" s="9">
        <v>5</v>
      </c>
      <c r="E153" s="8">
        <v>7</v>
      </c>
      <c r="F153" s="10">
        <v>3808</v>
      </c>
      <c r="G153" s="10">
        <v>114.24</v>
      </c>
      <c r="H153" s="10">
        <v>3693.76</v>
      </c>
      <c r="I153" s="11">
        <v>2720</v>
      </c>
      <c r="J153" s="12">
        <v>41648</v>
      </c>
    </row>
    <row r="154" spans="1:10" ht="12.75" x14ac:dyDescent="0.2">
      <c r="A154" s="7" t="s">
        <v>24</v>
      </c>
      <c r="B154" s="7" t="s">
        <v>57</v>
      </c>
      <c r="C154" s="8">
        <v>1797</v>
      </c>
      <c r="D154" s="9">
        <v>5</v>
      </c>
      <c r="E154" s="8">
        <v>350</v>
      </c>
      <c r="F154" s="10">
        <v>628950</v>
      </c>
      <c r="G154" s="10">
        <v>18868.5</v>
      </c>
      <c r="H154" s="10">
        <v>610081.5</v>
      </c>
      <c r="I154" s="11">
        <v>467220</v>
      </c>
      <c r="J154" s="12">
        <v>41283</v>
      </c>
    </row>
    <row r="155" spans="1:10" ht="12.75" x14ac:dyDescent="0.2">
      <c r="A155" s="7" t="s">
        <v>111</v>
      </c>
      <c r="B155" s="7" t="s">
        <v>57</v>
      </c>
      <c r="C155" s="8">
        <v>1287</v>
      </c>
      <c r="D155" s="9">
        <v>5</v>
      </c>
      <c r="E155" s="8">
        <v>125</v>
      </c>
      <c r="F155" s="10">
        <v>160875</v>
      </c>
      <c r="G155" s="10">
        <v>4826.25</v>
      </c>
      <c r="H155" s="10">
        <v>156048.75</v>
      </c>
      <c r="I155" s="11">
        <v>154440</v>
      </c>
      <c r="J155" s="12">
        <v>41651</v>
      </c>
    </row>
    <row r="156" spans="1:10" ht="12.75" x14ac:dyDescent="0.2">
      <c r="A156" s="7" t="s">
        <v>112</v>
      </c>
      <c r="B156" s="7" t="s">
        <v>57</v>
      </c>
      <c r="C156" s="8">
        <v>1706</v>
      </c>
      <c r="D156" s="9">
        <v>5</v>
      </c>
      <c r="E156" s="8">
        <v>125</v>
      </c>
      <c r="F156" s="10">
        <v>213250</v>
      </c>
      <c r="G156" s="10">
        <v>6397.5</v>
      </c>
      <c r="H156" s="10">
        <v>206852.5</v>
      </c>
      <c r="I156" s="11">
        <v>204720</v>
      </c>
      <c r="J156" s="12">
        <v>41651</v>
      </c>
    </row>
    <row r="157" spans="1:10" ht="12.75" x14ac:dyDescent="0.2">
      <c r="A157" s="7" t="s">
        <v>91</v>
      </c>
      <c r="B157" s="7" t="s">
        <v>57</v>
      </c>
      <c r="C157" s="8">
        <v>2434.5</v>
      </c>
      <c r="D157" s="9">
        <v>10</v>
      </c>
      <c r="E157" s="8">
        <v>300</v>
      </c>
      <c r="F157" s="10">
        <v>730350</v>
      </c>
      <c r="G157" s="10">
        <v>21910.5</v>
      </c>
      <c r="H157" s="10">
        <v>708439.5</v>
      </c>
      <c r="I157" s="11">
        <v>608625</v>
      </c>
      <c r="J157" s="12">
        <v>41640</v>
      </c>
    </row>
    <row r="158" spans="1:10" ht="12.75" x14ac:dyDescent="0.2">
      <c r="A158" s="7" t="s">
        <v>96</v>
      </c>
      <c r="B158" s="7" t="s">
        <v>57</v>
      </c>
      <c r="C158" s="8">
        <v>1774</v>
      </c>
      <c r="D158" s="9">
        <v>10</v>
      </c>
      <c r="E158" s="8">
        <v>125</v>
      </c>
      <c r="F158" s="10">
        <v>221750</v>
      </c>
      <c r="G158" s="10">
        <v>6652.5</v>
      </c>
      <c r="H158" s="10">
        <v>215097.5</v>
      </c>
      <c r="I158" s="11">
        <v>212880</v>
      </c>
      <c r="J158" s="12">
        <v>41642</v>
      </c>
    </row>
    <row r="159" spans="1:10" ht="12.75" x14ac:dyDescent="0.2">
      <c r="A159" s="7" t="s">
        <v>94</v>
      </c>
      <c r="B159" s="7" t="s">
        <v>57</v>
      </c>
      <c r="C159" s="8">
        <v>1901</v>
      </c>
      <c r="D159" s="9">
        <v>10</v>
      </c>
      <c r="E159" s="8">
        <v>12</v>
      </c>
      <c r="F159" s="10">
        <v>22812</v>
      </c>
      <c r="G159" s="10">
        <v>684.36</v>
      </c>
      <c r="H159" s="10">
        <v>22127.64</v>
      </c>
      <c r="I159" s="11">
        <v>5703</v>
      </c>
      <c r="J159" s="12">
        <v>41645</v>
      </c>
    </row>
    <row r="160" spans="1:10" ht="12.75" x14ac:dyDescent="0.2">
      <c r="A160" s="7" t="s">
        <v>92</v>
      </c>
      <c r="B160" s="7" t="s">
        <v>57</v>
      </c>
      <c r="C160" s="8">
        <v>689</v>
      </c>
      <c r="D160" s="9">
        <v>10</v>
      </c>
      <c r="E160" s="8">
        <v>300</v>
      </c>
      <c r="F160" s="10">
        <v>206700</v>
      </c>
      <c r="G160" s="10">
        <v>6201</v>
      </c>
      <c r="H160" s="10">
        <v>200499</v>
      </c>
      <c r="I160" s="11">
        <v>172250</v>
      </c>
      <c r="J160" s="12">
        <v>41645</v>
      </c>
    </row>
    <row r="161" spans="1:10" ht="12.75" x14ac:dyDescent="0.2">
      <c r="A161" s="7" t="s">
        <v>93</v>
      </c>
      <c r="B161" s="7" t="s">
        <v>57</v>
      </c>
      <c r="C161" s="8">
        <v>1570</v>
      </c>
      <c r="D161" s="9">
        <v>10</v>
      </c>
      <c r="E161" s="8">
        <v>125</v>
      </c>
      <c r="F161" s="10">
        <v>196250</v>
      </c>
      <c r="G161" s="10">
        <v>5887.5</v>
      </c>
      <c r="H161" s="10">
        <v>190362.5</v>
      </c>
      <c r="I161" s="11">
        <v>188400</v>
      </c>
      <c r="J161" s="12">
        <v>41645</v>
      </c>
    </row>
    <row r="162" spans="1:10" ht="12.75" x14ac:dyDescent="0.2">
      <c r="A162" s="7" t="s">
        <v>35</v>
      </c>
      <c r="B162" s="7" t="s">
        <v>57</v>
      </c>
      <c r="C162" s="8">
        <v>1369.5</v>
      </c>
      <c r="D162" s="9">
        <v>10</v>
      </c>
      <c r="E162" s="8">
        <v>12</v>
      </c>
      <c r="F162" s="10">
        <v>16434</v>
      </c>
      <c r="G162" s="10">
        <v>493.02</v>
      </c>
      <c r="H162" s="10">
        <v>15940.98</v>
      </c>
      <c r="I162" s="11">
        <v>4108.5</v>
      </c>
      <c r="J162" s="12">
        <v>41646</v>
      </c>
    </row>
    <row r="163" spans="1:10" ht="12.75" x14ac:dyDescent="0.2">
      <c r="A163" s="7" t="s">
        <v>96</v>
      </c>
      <c r="B163" s="7" t="s">
        <v>57</v>
      </c>
      <c r="C163" s="8">
        <v>2009</v>
      </c>
      <c r="D163" s="9">
        <v>10</v>
      </c>
      <c r="E163" s="8">
        <v>125</v>
      </c>
      <c r="F163" s="10">
        <v>251125</v>
      </c>
      <c r="G163" s="10">
        <v>7533.75</v>
      </c>
      <c r="H163" s="10">
        <v>243591.25</v>
      </c>
      <c r="I163" s="11">
        <v>241080</v>
      </c>
      <c r="J163" s="12">
        <v>41649</v>
      </c>
    </row>
    <row r="164" spans="1:10" ht="12.75" x14ac:dyDescent="0.2">
      <c r="A164" s="7" t="s">
        <v>75</v>
      </c>
      <c r="B164" s="7" t="s">
        <v>57</v>
      </c>
      <c r="C164" s="8">
        <v>1945</v>
      </c>
      <c r="D164" s="9">
        <v>10</v>
      </c>
      <c r="E164" s="8">
        <v>15</v>
      </c>
      <c r="F164" s="10">
        <v>29175</v>
      </c>
      <c r="G164" s="10">
        <v>875.25</v>
      </c>
      <c r="H164" s="10">
        <v>28299.75</v>
      </c>
      <c r="I164" s="11">
        <v>19450</v>
      </c>
      <c r="J164" s="12">
        <v>41284</v>
      </c>
    </row>
    <row r="165" spans="1:10" ht="12.75" x14ac:dyDescent="0.2">
      <c r="A165" s="7" t="s">
        <v>73</v>
      </c>
      <c r="B165" s="7" t="s">
        <v>57</v>
      </c>
      <c r="C165" s="8">
        <v>1287</v>
      </c>
      <c r="D165" s="9">
        <v>10</v>
      </c>
      <c r="E165" s="8">
        <v>125</v>
      </c>
      <c r="F165" s="10">
        <v>160875</v>
      </c>
      <c r="G165" s="10">
        <v>4826.25</v>
      </c>
      <c r="H165" s="10">
        <v>156048.75</v>
      </c>
      <c r="I165" s="11">
        <v>154440</v>
      </c>
      <c r="J165" s="12">
        <v>41651</v>
      </c>
    </row>
    <row r="166" spans="1:10" ht="12.75" x14ac:dyDescent="0.2">
      <c r="A166" s="7" t="s">
        <v>93</v>
      </c>
      <c r="B166" s="7" t="s">
        <v>57</v>
      </c>
      <c r="C166" s="8">
        <v>1706</v>
      </c>
      <c r="D166" s="9">
        <v>10</v>
      </c>
      <c r="E166" s="8">
        <v>125</v>
      </c>
      <c r="F166" s="10">
        <v>213250</v>
      </c>
      <c r="G166" s="10">
        <v>6397.5</v>
      </c>
      <c r="H166" s="10">
        <v>206852.5</v>
      </c>
      <c r="I166" s="11">
        <v>204720</v>
      </c>
      <c r="J166" s="12">
        <v>41651</v>
      </c>
    </row>
    <row r="167" spans="1:10" ht="12.75" x14ac:dyDescent="0.2">
      <c r="A167" s="7" t="s">
        <v>42</v>
      </c>
      <c r="B167" s="7" t="s">
        <v>57</v>
      </c>
      <c r="C167" s="8">
        <v>2009</v>
      </c>
      <c r="D167" s="9">
        <v>120</v>
      </c>
      <c r="E167" s="8">
        <v>125</v>
      </c>
      <c r="F167" s="10">
        <v>251125</v>
      </c>
      <c r="G167" s="10">
        <v>7533.75</v>
      </c>
      <c r="H167" s="10">
        <v>243591.25</v>
      </c>
      <c r="I167" s="11">
        <v>241080</v>
      </c>
      <c r="J167" s="12">
        <v>41649</v>
      </c>
    </row>
    <row r="168" spans="1:10" ht="12.75" x14ac:dyDescent="0.2">
      <c r="A168" s="7" t="s">
        <v>113</v>
      </c>
      <c r="B168" s="7" t="s">
        <v>57</v>
      </c>
      <c r="C168" s="8">
        <v>2844</v>
      </c>
      <c r="D168" s="9">
        <v>250</v>
      </c>
      <c r="E168" s="8">
        <v>300</v>
      </c>
      <c r="F168" s="10">
        <v>853200</v>
      </c>
      <c r="G168" s="10">
        <v>25596</v>
      </c>
      <c r="H168" s="10">
        <v>827604</v>
      </c>
      <c r="I168" s="11">
        <v>711000</v>
      </c>
      <c r="J168" s="12">
        <v>41641</v>
      </c>
    </row>
    <row r="169" spans="1:10" ht="12.75" x14ac:dyDescent="0.2">
      <c r="A169" s="7" t="s">
        <v>114</v>
      </c>
      <c r="B169" s="7" t="s">
        <v>57</v>
      </c>
      <c r="C169" s="8">
        <v>1916</v>
      </c>
      <c r="D169" s="9">
        <v>250</v>
      </c>
      <c r="E169" s="8">
        <v>12</v>
      </c>
      <c r="F169" s="10">
        <v>22992</v>
      </c>
      <c r="G169" s="10">
        <v>689.76</v>
      </c>
      <c r="H169" s="10">
        <v>22302.240000000002</v>
      </c>
      <c r="I169" s="11">
        <v>5748</v>
      </c>
      <c r="J169" s="12">
        <v>41643</v>
      </c>
    </row>
    <row r="170" spans="1:10" ht="12.75" x14ac:dyDescent="0.2">
      <c r="A170" s="7" t="s">
        <v>115</v>
      </c>
      <c r="B170" s="7" t="s">
        <v>57</v>
      </c>
      <c r="C170" s="8">
        <v>1570</v>
      </c>
      <c r="D170" s="9">
        <v>250</v>
      </c>
      <c r="E170" s="8">
        <v>125</v>
      </c>
      <c r="F170" s="10">
        <v>196250</v>
      </c>
      <c r="G170" s="10">
        <v>5887.5</v>
      </c>
      <c r="H170" s="10">
        <v>190362.5</v>
      </c>
      <c r="I170" s="11">
        <v>188400</v>
      </c>
      <c r="J170" s="12">
        <v>41645</v>
      </c>
    </row>
    <row r="171" spans="1:10" ht="12.75" x14ac:dyDescent="0.2">
      <c r="A171" s="7" t="s">
        <v>43</v>
      </c>
      <c r="B171" s="7" t="s">
        <v>57</v>
      </c>
      <c r="C171" s="8">
        <v>1874</v>
      </c>
      <c r="D171" s="9">
        <v>250</v>
      </c>
      <c r="E171" s="8">
        <v>300</v>
      </c>
      <c r="F171" s="10">
        <v>562200</v>
      </c>
      <c r="G171" s="10">
        <v>16866</v>
      </c>
      <c r="H171" s="10">
        <v>545334</v>
      </c>
      <c r="I171" s="11">
        <v>468500</v>
      </c>
      <c r="J171" s="12">
        <v>41647</v>
      </c>
    </row>
    <row r="172" spans="1:10" ht="12.75" x14ac:dyDescent="0.2">
      <c r="A172" s="7" t="s">
        <v>83</v>
      </c>
      <c r="B172" s="7" t="s">
        <v>57</v>
      </c>
      <c r="C172" s="8">
        <v>1642</v>
      </c>
      <c r="D172" s="9">
        <v>250</v>
      </c>
      <c r="E172" s="8">
        <v>350</v>
      </c>
      <c r="F172" s="10">
        <v>574700</v>
      </c>
      <c r="G172" s="10">
        <v>17241</v>
      </c>
      <c r="H172" s="10">
        <v>557459</v>
      </c>
      <c r="I172" s="11">
        <v>426920</v>
      </c>
      <c r="J172" s="12">
        <v>41647</v>
      </c>
    </row>
    <row r="173" spans="1:10" ht="12.75" x14ac:dyDescent="0.2">
      <c r="A173" s="7" t="s">
        <v>46</v>
      </c>
      <c r="B173" s="7" t="s">
        <v>57</v>
      </c>
      <c r="C173" s="8">
        <v>1945</v>
      </c>
      <c r="D173" s="9">
        <v>250</v>
      </c>
      <c r="E173" s="8">
        <v>15</v>
      </c>
      <c r="F173" s="10">
        <v>29175</v>
      </c>
      <c r="G173" s="10">
        <v>875.25</v>
      </c>
      <c r="H173" s="10">
        <v>28299.75</v>
      </c>
      <c r="I173" s="11">
        <v>19450</v>
      </c>
      <c r="J173" s="12">
        <v>41284</v>
      </c>
    </row>
    <row r="174" spans="1:10" ht="12.75" x14ac:dyDescent="0.2">
      <c r="A174" s="7" t="s">
        <v>11</v>
      </c>
      <c r="B174" s="7" t="s">
        <v>57</v>
      </c>
      <c r="C174" s="8">
        <v>831</v>
      </c>
      <c r="D174" s="9">
        <v>3</v>
      </c>
      <c r="E174" s="8">
        <v>20</v>
      </c>
      <c r="F174" s="10">
        <v>16620</v>
      </c>
      <c r="G174" s="10">
        <v>498.6</v>
      </c>
      <c r="H174" s="10">
        <v>16121.4</v>
      </c>
      <c r="I174" s="11">
        <v>8310</v>
      </c>
      <c r="J174" s="12">
        <v>41644</v>
      </c>
    </row>
    <row r="175" spans="1:10" ht="12.75" x14ac:dyDescent="0.2">
      <c r="A175" s="7" t="s">
        <v>31</v>
      </c>
      <c r="B175" s="7" t="s">
        <v>57</v>
      </c>
      <c r="C175" s="8">
        <v>1760</v>
      </c>
      <c r="D175" s="9">
        <v>10</v>
      </c>
      <c r="E175" s="8">
        <v>7</v>
      </c>
      <c r="F175" s="10">
        <v>12320</v>
      </c>
      <c r="G175" s="10">
        <v>369.6</v>
      </c>
      <c r="H175" s="10">
        <v>11950.4</v>
      </c>
      <c r="I175" s="11">
        <v>8800</v>
      </c>
      <c r="J175" s="12">
        <v>41283</v>
      </c>
    </row>
    <row r="176" spans="1:10" ht="12.75" x14ac:dyDescent="0.2">
      <c r="A176" s="7" t="s">
        <v>77</v>
      </c>
      <c r="B176" s="7" t="s">
        <v>57</v>
      </c>
      <c r="C176" s="8">
        <v>3850.5</v>
      </c>
      <c r="D176" s="9">
        <v>120</v>
      </c>
      <c r="E176" s="8">
        <v>20</v>
      </c>
      <c r="F176" s="10">
        <v>77010</v>
      </c>
      <c r="G176" s="10">
        <v>2310.3000000000002</v>
      </c>
      <c r="H176" s="10">
        <v>74699.7</v>
      </c>
      <c r="I176" s="11">
        <v>38505</v>
      </c>
      <c r="J176" s="12">
        <v>41643</v>
      </c>
    </row>
    <row r="177" spans="1:10" ht="12.75" x14ac:dyDescent="0.2">
      <c r="A177" s="7" t="s">
        <v>44</v>
      </c>
      <c r="B177" s="7" t="s">
        <v>57</v>
      </c>
      <c r="C177" s="8">
        <v>2479</v>
      </c>
      <c r="D177" s="9">
        <v>250</v>
      </c>
      <c r="E177" s="8">
        <v>12</v>
      </c>
      <c r="F177" s="10">
        <v>29748</v>
      </c>
      <c r="G177" s="10">
        <v>892.44</v>
      </c>
      <c r="H177" s="10">
        <v>28855.56</v>
      </c>
      <c r="I177" s="11">
        <v>7437</v>
      </c>
      <c r="J177" s="12">
        <v>41640</v>
      </c>
    </row>
    <row r="178" spans="1:10" ht="12.75" x14ac:dyDescent="0.2">
      <c r="A178" s="7" t="s">
        <v>21</v>
      </c>
      <c r="B178" s="7" t="s">
        <v>57</v>
      </c>
      <c r="C178" s="8">
        <v>2031</v>
      </c>
      <c r="D178" s="9">
        <v>5</v>
      </c>
      <c r="E178" s="8">
        <v>15</v>
      </c>
      <c r="F178" s="10">
        <v>30465</v>
      </c>
      <c r="G178" s="10">
        <v>1218.5999999999999</v>
      </c>
      <c r="H178" s="10">
        <v>29246.400000000001</v>
      </c>
      <c r="I178" s="11">
        <v>20310</v>
      </c>
      <c r="J178" s="12">
        <v>41649</v>
      </c>
    </row>
    <row r="179" spans="1:10" ht="12.75" x14ac:dyDescent="0.2">
      <c r="A179" s="7" t="s">
        <v>27</v>
      </c>
      <c r="B179" s="7" t="s">
        <v>57</v>
      </c>
      <c r="C179" s="8">
        <v>2031</v>
      </c>
      <c r="D179" s="9">
        <v>10</v>
      </c>
      <c r="E179" s="8">
        <v>15</v>
      </c>
      <c r="F179" s="10">
        <v>30465</v>
      </c>
      <c r="G179" s="10">
        <v>1218.5999999999999</v>
      </c>
      <c r="H179" s="10">
        <v>29246.400000000001</v>
      </c>
      <c r="I179" s="11">
        <v>20310</v>
      </c>
      <c r="J179" s="12">
        <v>41649</v>
      </c>
    </row>
    <row r="180" spans="1:10" ht="12.75" x14ac:dyDescent="0.2">
      <c r="A180" s="7" t="s">
        <v>32</v>
      </c>
      <c r="B180" s="7" t="s">
        <v>57</v>
      </c>
      <c r="C180" s="8">
        <v>2261</v>
      </c>
      <c r="D180" s="9">
        <v>10</v>
      </c>
      <c r="E180" s="8">
        <v>15</v>
      </c>
      <c r="F180" s="10">
        <v>33915</v>
      </c>
      <c r="G180" s="10">
        <v>1356.6</v>
      </c>
      <c r="H180" s="10">
        <v>32558.400000000001</v>
      </c>
      <c r="I180" s="11">
        <v>22610</v>
      </c>
      <c r="J180" s="12">
        <v>41286</v>
      </c>
    </row>
    <row r="181" spans="1:10" ht="12.75" x14ac:dyDescent="0.2">
      <c r="A181" s="7" t="s">
        <v>98</v>
      </c>
      <c r="B181" s="7" t="s">
        <v>57</v>
      </c>
      <c r="C181" s="8">
        <v>736</v>
      </c>
      <c r="D181" s="9">
        <v>120</v>
      </c>
      <c r="E181" s="8">
        <v>20</v>
      </c>
      <c r="F181" s="10">
        <v>14720</v>
      </c>
      <c r="G181" s="10">
        <v>588.79999999999995</v>
      </c>
      <c r="H181" s="10">
        <v>14131.2</v>
      </c>
      <c r="I181" s="11">
        <v>7360</v>
      </c>
      <c r="J181" s="12">
        <v>41283</v>
      </c>
    </row>
    <row r="182" spans="1:10" ht="12.75" x14ac:dyDescent="0.2">
      <c r="A182" s="7" t="s">
        <v>11</v>
      </c>
      <c r="B182" s="7" t="s">
        <v>57</v>
      </c>
      <c r="C182" s="8">
        <v>2851</v>
      </c>
      <c r="D182" s="9">
        <v>3</v>
      </c>
      <c r="E182" s="8">
        <v>7</v>
      </c>
      <c r="F182" s="10">
        <v>19957</v>
      </c>
      <c r="G182" s="10">
        <v>798.28</v>
      </c>
      <c r="H182" s="10">
        <v>19158.72</v>
      </c>
      <c r="I182" s="11">
        <v>14255</v>
      </c>
      <c r="J182" s="12">
        <v>41284</v>
      </c>
    </row>
    <row r="183" spans="1:10" ht="12.75" x14ac:dyDescent="0.2">
      <c r="A183" s="7" t="s">
        <v>86</v>
      </c>
      <c r="B183" s="7" t="s">
        <v>57</v>
      </c>
      <c r="C183" s="8">
        <v>2021</v>
      </c>
      <c r="D183" s="9">
        <v>3</v>
      </c>
      <c r="E183" s="8">
        <v>300</v>
      </c>
      <c r="F183" s="10">
        <v>606300</v>
      </c>
      <c r="G183" s="10">
        <v>24252</v>
      </c>
      <c r="H183" s="10">
        <v>582048</v>
      </c>
      <c r="I183" s="11">
        <v>505250</v>
      </c>
      <c r="J183" s="12">
        <v>41649</v>
      </c>
    </row>
    <row r="184" spans="1:10" ht="12.75" x14ac:dyDescent="0.2">
      <c r="A184" s="7" t="s">
        <v>61</v>
      </c>
      <c r="B184" s="7" t="s">
        <v>57</v>
      </c>
      <c r="C184" s="8">
        <v>274</v>
      </c>
      <c r="D184" s="9">
        <v>3</v>
      </c>
      <c r="E184" s="8">
        <v>350</v>
      </c>
      <c r="F184" s="10">
        <v>95900</v>
      </c>
      <c r="G184" s="10">
        <v>3836</v>
      </c>
      <c r="H184" s="10">
        <v>92064</v>
      </c>
      <c r="I184" s="11">
        <v>71240</v>
      </c>
      <c r="J184" s="12">
        <v>41651</v>
      </c>
    </row>
    <row r="185" spans="1:10" ht="12.75" x14ac:dyDescent="0.2">
      <c r="A185" s="7" t="s">
        <v>116</v>
      </c>
      <c r="B185" s="7" t="s">
        <v>57</v>
      </c>
      <c r="C185" s="8">
        <v>1967</v>
      </c>
      <c r="D185" s="9">
        <v>5</v>
      </c>
      <c r="E185" s="8">
        <v>15</v>
      </c>
      <c r="F185" s="10">
        <v>29505</v>
      </c>
      <c r="G185" s="10">
        <v>1180.2</v>
      </c>
      <c r="H185" s="10">
        <v>28324.799999999999</v>
      </c>
      <c r="I185" s="11">
        <v>19670</v>
      </c>
      <c r="J185" s="12">
        <v>41642</v>
      </c>
    </row>
    <row r="186" spans="1:10" ht="12.75" x14ac:dyDescent="0.2">
      <c r="A186" s="7" t="s">
        <v>117</v>
      </c>
      <c r="B186" s="7" t="s">
        <v>57</v>
      </c>
      <c r="C186" s="8">
        <v>1859</v>
      </c>
      <c r="D186" s="9">
        <v>5</v>
      </c>
      <c r="E186" s="8">
        <v>300</v>
      </c>
      <c r="F186" s="10">
        <v>557700</v>
      </c>
      <c r="G186" s="10">
        <v>22308</v>
      </c>
      <c r="H186" s="10">
        <v>535392</v>
      </c>
      <c r="I186" s="11">
        <v>464750</v>
      </c>
      <c r="J186" s="12">
        <v>41647</v>
      </c>
    </row>
    <row r="187" spans="1:10" ht="12.75" x14ac:dyDescent="0.2">
      <c r="A187" s="7" t="s">
        <v>69</v>
      </c>
      <c r="B187" s="7" t="s">
        <v>57</v>
      </c>
      <c r="C187" s="8">
        <v>2851</v>
      </c>
      <c r="D187" s="9">
        <v>5</v>
      </c>
      <c r="E187" s="8">
        <v>7</v>
      </c>
      <c r="F187" s="10">
        <v>19957</v>
      </c>
      <c r="G187" s="10">
        <v>798.28</v>
      </c>
      <c r="H187" s="10">
        <v>19158.72</v>
      </c>
      <c r="I187" s="11">
        <v>14255</v>
      </c>
      <c r="J187" s="12">
        <v>41284</v>
      </c>
    </row>
    <row r="188" spans="1:10" ht="12.75" x14ac:dyDescent="0.2">
      <c r="A188" s="7" t="s">
        <v>117</v>
      </c>
      <c r="B188" s="7" t="s">
        <v>57</v>
      </c>
      <c r="C188" s="8">
        <v>2021</v>
      </c>
      <c r="D188" s="9">
        <v>5</v>
      </c>
      <c r="E188" s="8">
        <v>300</v>
      </c>
      <c r="F188" s="10">
        <v>606300</v>
      </c>
      <c r="G188" s="10">
        <v>24252</v>
      </c>
      <c r="H188" s="10">
        <v>582048</v>
      </c>
      <c r="I188" s="11">
        <v>505250</v>
      </c>
      <c r="J188" s="12">
        <v>41649</v>
      </c>
    </row>
    <row r="189" spans="1:10" ht="12.75" x14ac:dyDescent="0.2">
      <c r="A189" s="7" t="s">
        <v>90</v>
      </c>
      <c r="B189" s="7" t="s">
        <v>57</v>
      </c>
      <c r="C189" s="8">
        <v>1138</v>
      </c>
      <c r="D189" s="9">
        <v>5</v>
      </c>
      <c r="E189" s="8">
        <v>125</v>
      </c>
      <c r="F189" s="10">
        <v>142250</v>
      </c>
      <c r="G189" s="10">
        <v>5690</v>
      </c>
      <c r="H189" s="10">
        <v>136560</v>
      </c>
      <c r="I189" s="11">
        <v>136560</v>
      </c>
      <c r="J189" s="12">
        <v>41651</v>
      </c>
    </row>
    <row r="190" spans="1:10" ht="12.75" x14ac:dyDescent="0.2">
      <c r="A190" s="7" t="s">
        <v>26</v>
      </c>
      <c r="B190" s="7" t="s">
        <v>57</v>
      </c>
      <c r="C190" s="8">
        <v>4251</v>
      </c>
      <c r="D190" s="9">
        <v>10</v>
      </c>
      <c r="E190" s="8">
        <v>7</v>
      </c>
      <c r="F190" s="10">
        <v>29757</v>
      </c>
      <c r="G190" s="10">
        <v>1190.28</v>
      </c>
      <c r="H190" s="10">
        <v>28566.720000000001</v>
      </c>
      <c r="I190" s="11">
        <v>21255</v>
      </c>
      <c r="J190" s="12">
        <v>41640</v>
      </c>
    </row>
    <row r="191" spans="1:10" ht="12.75" x14ac:dyDescent="0.2">
      <c r="A191" s="7" t="s">
        <v>93</v>
      </c>
      <c r="B191" s="7" t="s">
        <v>57</v>
      </c>
      <c r="C191" s="8">
        <v>795</v>
      </c>
      <c r="D191" s="9">
        <v>10</v>
      </c>
      <c r="E191" s="8">
        <v>125</v>
      </c>
      <c r="F191" s="10">
        <v>99375</v>
      </c>
      <c r="G191" s="10">
        <v>3975</v>
      </c>
      <c r="H191" s="10">
        <v>95400</v>
      </c>
      <c r="I191" s="11">
        <v>95400</v>
      </c>
      <c r="J191" s="12">
        <v>41642</v>
      </c>
    </row>
    <row r="192" spans="1:10" ht="12.75" x14ac:dyDescent="0.2">
      <c r="A192" s="7" t="s">
        <v>92</v>
      </c>
      <c r="B192" s="7" t="s">
        <v>57</v>
      </c>
      <c r="C192" s="8">
        <v>1414.5</v>
      </c>
      <c r="D192" s="9">
        <v>10</v>
      </c>
      <c r="E192" s="8">
        <v>300</v>
      </c>
      <c r="F192" s="10">
        <v>424350</v>
      </c>
      <c r="G192" s="10">
        <v>16974</v>
      </c>
      <c r="H192" s="10">
        <v>407376</v>
      </c>
      <c r="I192" s="11">
        <v>353625</v>
      </c>
      <c r="J192" s="12">
        <v>41643</v>
      </c>
    </row>
    <row r="193" spans="1:10" ht="12.75" x14ac:dyDescent="0.2">
      <c r="A193" s="7" t="s">
        <v>76</v>
      </c>
      <c r="B193" s="7" t="s">
        <v>57</v>
      </c>
      <c r="C193" s="8">
        <v>2918</v>
      </c>
      <c r="D193" s="9">
        <v>10</v>
      </c>
      <c r="E193" s="8">
        <v>300</v>
      </c>
      <c r="F193" s="10">
        <v>875400</v>
      </c>
      <c r="G193" s="10">
        <v>35016</v>
      </c>
      <c r="H193" s="10">
        <v>840384</v>
      </c>
      <c r="I193" s="11">
        <v>729500</v>
      </c>
      <c r="J193" s="12">
        <v>41644</v>
      </c>
    </row>
    <row r="194" spans="1:10" ht="12.75" x14ac:dyDescent="0.2">
      <c r="A194" s="7" t="s">
        <v>34</v>
      </c>
      <c r="B194" s="7" t="s">
        <v>57</v>
      </c>
      <c r="C194" s="8">
        <v>3450</v>
      </c>
      <c r="D194" s="9">
        <v>10</v>
      </c>
      <c r="E194" s="8">
        <v>350</v>
      </c>
      <c r="F194" s="10">
        <v>1207500</v>
      </c>
      <c r="G194" s="10">
        <v>48300</v>
      </c>
      <c r="H194" s="10">
        <v>1159200</v>
      </c>
      <c r="I194" s="11">
        <v>897000</v>
      </c>
      <c r="J194" s="12">
        <v>41646</v>
      </c>
    </row>
    <row r="195" spans="1:10" ht="12.75" x14ac:dyDescent="0.2">
      <c r="A195" s="7" t="s">
        <v>73</v>
      </c>
      <c r="B195" s="7" t="s">
        <v>57</v>
      </c>
      <c r="C195" s="8">
        <v>2988</v>
      </c>
      <c r="D195" s="9">
        <v>10</v>
      </c>
      <c r="E195" s="8">
        <v>125</v>
      </c>
      <c r="F195" s="10">
        <v>373500</v>
      </c>
      <c r="G195" s="10">
        <v>14940</v>
      </c>
      <c r="H195" s="10">
        <v>358560</v>
      </c>
      <c r="I195" s="11">
        <v>358560</v>
      </c>
      <c r="J195" s="12">
        <v>41646</v>
      </c>
    </row>
    <row r="196" spans="1:10" ht="12.75" x14ac:dyDescent="0.2">
      <c r="A196" s="7" t="s">
        <v>36</v>
      </c>
      <c r="B196" s="7" t="s">
        <v>57</v>
      </c>
      <c r="C196" s="8">
        <v>218</v>
      </c>
      <c r="D196" s="9">
        <v>10</v>
      </c>
      <c r="E196" s="8">
        <v>15</v>
      </c>
      <c r="F196" s="10">
        <v>3270</v>
      </c>
      <c r="G196" s="10">
        <v>130.80000000000001</v>
      </c>
      <c r="H196" s="10">
        <v>3139.2</v>
      </c>
      <c r="I196" s="11">
        <v>2180</v>
      </c>
      <c r="J196" s="12">
        <v>41648</v>
      </c>
    </row>
    <row r="197" spans="1:10" ht="12.75" x14ac:dyDescent="0.2">
      <c r="A197" s="7" t="s">
        <v>26</v>
      </c>
      <c r="B197" s="7" t="s">
        <v>57</v>
      </c>
      <c r="C197" s="8">
        <v>2074</v>
      </c>
      <c r="D197" s="9">
        <v>10</v>
      </c>
      <c r="E197" s="8">
        <v>20</v>
      </c>
      <c r="F197" s="10">
        <v>41480</v>
      </c>
      <c r="G197" s="10">
        <v>1659.2</v>
      </c>
      <c r="H197" s="10">
        <v>39820.800000000003</v>
      </c>
      <c r="I197" s="11">
        <v>20740</v>
      </c>
      <c r="J197" s="12">
        <v>41648</v>
      </c>
    </row>
    <row r="198" spans="1:10" ht="12.75" x14ac:dyDescent="0.2">
      <c r="A198" s="7" t="s">
        <v>34</v>
      </c>
      <c r="B198" s="7" t="s">
        <v>57</v>
      </c>
      <c r="C198" s="8">
        <v>1056</v>
      </c>
      <c r="D198" s="9">
        <v>10</v>
      </c>
      <c r="E198" s="8">
        <v>20</v>
      </c>
      <c r="F198" s="10">
        <v>21120</v>
      </c>
      <c r="G198" s="10">
        <v>844.8</v>
      </c>
      <c r="H198" s="10">
        <v>20275.2</v>
      </c>
      <c r="I198" s="11">
        <v>10560</v>
      </c>
      <c r="J198" s="12">
        <v>41648</v>
      </c>
    </row>
    <row r="199" spans="1:10" ht="12.75" x14ac:dyDescent="0.2">
      <c r="A199" s="7" t="s">
        <v>71</v>
      </c>
      <c r="B199" s="7" t="s">
        <v>57</v>
      </c>
      <c r="C199" s="8">
        <v>671</v>
      </c>
      <c r="D199" s="9">
        <v>10</v>
      </c>
      <c r="E199" s="8">
        <v>15</v>
      </c>
      <c r="F199" s="10">
        <v>10065</v>
      </c>
      <c r="G199" s="10">
        <v>402.6</v>
      </c>
      <c r="H199" s="10">
        <v>9662.4</v>
      </c>
      <c r="I199" s="11">
        <v>6710</v>
      </c>
      <c r="J199" s="12">
        <v>41284</v>
      </c>
    </row>
    <row r="200" spans="1:10" ht="12.75" x14ac:dyDescent="0.2">
      <c r="A200" s="7" t="s">
        <v>27</v>
      </c>
      <c r="B200" s="7" t="s">
        <v>57</v>
      </c>
      <c r="C200" s="8">
        <v>1514</v>
      </c>
      <c r="D200" s="9">
        <v>10</v>
      </c>
      <c r="E200" s="8">
        <v>15</v>
      </c>
      <c r="F200" s="10">
        <v>22710</v>
      </c>
      <c r="G200" s="10">
        <v>908.4</v>
      </c>
      <c r="H200" s="10">
        <v>21801.599999999999</v>
      </c>
      <c r="I200" s="11">
        <v>15140</v>
      </c>
      <c r="J200" s="12">
        <v>41284</v>
      </c>
    </row>
    <row r="201" spans="1:10" ht="12.75" x14ac:dyDescent="0.2">
      <c r="A201" s="7" t="s">
        <v>34</v>
      </c>
      <c r="B201" s="7" t="s">
        <v>57</v>
      </c>
      <c r="C201" s="8">
        <v>274</v>
      </c>
      <c r="D201" s="9">
        <v>10</v>
      </c>
      <c r="E201" s="8">
        <v>350</v>
      </c>
      <c r="F201" s="10">
        <v>95900</v>
      </c>
      <c r="G201" s="10">
        <v>3836</v>
      </c>
      <c r="H201" s="10">
        <v>92064</v>
      </c>
      <c r="I201" s="11">
        <v>71240</v>
      </c>
      <c r="J201" s="12">
        <v>41651</v>
      </c>
    </row>
    <row r="202" spans="1:10" ht="12.75" x14ac:dyDescent="0.2">
      <c r="A202" s="7" t="s">
        <v>74</v>
      </c>
      <c r="B202" s="7" t="s">
        <v>57</v>
      </c>
      <c r="C202" s="8">
        <v>1138</v>
      </c>
      <c r="D202" s="9">
        <v>10</v>
      </c>
      <c r="E202" s="8">
        <v>125</v>
      </c>
      <c r="F202" s="10">
        <v>142250</v>
      </c>
      <c r="G202" s="10">
        <v>5690</v>
      </c>
      <c r="H202" s="10">
        <v>136560</v>
      </c>
      <c r="I202" s="11">
        <v>136560</v>
      </c>
      <c r="J202" s="12">
        <v>41651</v>
      </c>
    </row>
    <row r="203" spans="1:10" ht="12.75" x14ac:dyDescent="0.2">
      <c r="A203" s="7" t="s">
        <v>118</v>
      </c>
      <c r="B203" s="7" t="s">
        <v>57</v>
      </c>
      <c r="C203" s="8">
        <v>1465</v>
      </c>
      <c r="D203" s="9">
        <v>120</v>
      </c>
      <c r="E203" s="8">
        <v>12</v>
      </c>
      <c r="F203" s="10">
        <v>17580</v>
      </c>
      <c r="G203" s="10">
        <v>703.2</v>
      </c>
      <c r="H203" s="10">
        <v>16876.8</v>
      </c>
      <c r="I203" s="11">
        <v>4395</v>
      </c>
      <c r="J203" s="12">
        <v>41642</v>
      </c>
    </row>
    <row r="204" spans="1:10" ht="12.75" x14ac:dyDescent="0.2">
      <c r="A204" s="7" t="s">
        <v>77</v>
      </c>
      <c r="B204" s="7" t="s">
        <v>57</v>
      </c>
      <c r="C204" s="8">
        <v>2646</v>
      </c>
      <c r="D204" s="9">
        <v>120</v>
      </c>
      <c r="E204" s="8">
        <v>20</v>
      </c>
      <c r="F204" s="10">
        <v>52920</v>
      </c>
      <c r="G204" s="10">
        <v>2116.8000000000002</v>
      </c>
      <c r="H204" s="10">
        <v>50803.199999999997</v>
      </c>
      <c r="I204" s="11">
        <v>26460</v>
      </c>
      <c r="J204" s="12">
        <v>41283</v>
      </c>
    </row>
    <row r="205" spans="1:10" ht="12.75" x14ac:dyDescent="0.2">
      <c r="A205" s="7" t="s">
        <v>58</v>
      </c>
      <c r="B205" s="7" t="s">
        <v>57</v>
      </c>
      <c r="C205" s="8">
        <v>2177</v>
      </c>
      <c r="D205" s="9">
        <v>120</v>
      </c>
      <c r="E205" s="8">
        <v>350</v>
      </c>
      <c r="F205" s="10">
        <v>761950</v>
      </c>
      <c r="G205" s="10">
        <v>30478</v>
      </c>
      <c r="H205" s="10">
        <v>731472</v>
      </c>
      <c r="I205" s="11">
        <v>566020</v>
      </c>
      <c r="J205" s="12">
        <v>41649</v>
      </c>
    </row>
    <row r="206" spans="1:10" ht="12.75" x14ac:dyDescent="0.2">
      <c r="A206" s="7" t="s">
        <v>119</v>
      </c>
      <c r="B206" s="7" t="s">
        <v>57</v>
      </c>
      <c r="C206" s="8">
        <v>866</v>
      </c>
      <c r="D206" s="9">
        <v>250</v>
      </c>
      <c r="E206" s="8">
        <v>12</v>
      </c>
      <c r="F206" s="10">
        <v>10392</v>
      </c>
      <c r="G206" s="10">
        <v>415.68</v>
      </c>
      <c r="H206" s="10">
        <v>9976.32</v>
      </c>
      <c r="I206" s="11">
        <v>2598</v>
      </c>
      <c r="J206" s="12">
        <v>41644</v>
      </c>
    </row>
    <row r="207" spans="1:10" ht="12.75" x14ac:dyDescent="0.2">
      <c r="A207" s="7" t="s">
        <v>105</v>
      </c>
      <c r="B207" s="7" t="s">
        <v>57</v>
      </c>
      <c r="C207" s="8">
        <v>349</v>
      </c>
      <c r="D207" s="9">
        <v>250</v>
      </c>
      <c r="E207" s="8">
        <v>350</v>
      </c>
      <c r="F207" s="10">
        <v>122150</v>
      </c>
      <c r="G207" s="10">
        <v>4886</v>
      </c>
      <c r="H207" s="10">
        <v>117264</v>
      </c>
      <c r="I207" s="11">
        <v>90740</v>
      </c>
      <c r="J207" s="12">
        <v>41283</v>
      </c>
    </row>
    <row r="208" spans="1:10" ht="12.75" x14ac:dyDescent="0.2">
      <c r="A208" s="7" t="s">
        <v>47</v>
      </c>
      <c r="B208" s="7" t="s">
        <v>57</v>
      </c>
      <c r="C208" s="8">
        <v>2177</v>
      </c>
      <c r="D208" s="9">
        <v>250</v>
      </c>
      <c r="E208" s="8">
        <v>350</v>
      </c>
      <c r="F208" s="10">
        <v>761950</v>
      </c>
      <c r="G208" s="10">
        <v>30478</v>
      </c>
      <c r="H208" s="10">
        <v>731472</v>
      </c>
      <c r="I208" s="11">
        <v>566020</v>
      </c>
      <c r="J208" s="12">
        <v>41649</v>
      </c>
    </row>
    <row r="209" spans="1:10" ht="12.75" x14ac:dyDescent="0.2">
      <c r="A209" s="7" t="s">
        <v>120</v>
      </c>
      <c r="B209" s="7" t="s">
        <v>57</v>
      </c>
      <c r="C209" s="8">
        <v>1514</v>
      </c>
      <c r="D209" s="9">
        <v>250</v>
      </c>
      <c r="E209" s="8">
        <v>15</v>
      </c>
      <c r="F209" s="10">
        <v>22710</v>
      </c>
      <c r="G209" s="10">
        <v>908.4</v>
      </c>
      <c r="H209" s="10">
        <v>21801.599999999999</v>
      </c>
      <c r="I209" s="11">
        <v>15140</v>
      </c>
      <c r="J209" s="12">
        <v>41284</v>
      </c>
    </row>
    <row r="210" spans="1:10" ht="12.75" x14ac:dyDescent="0.2">
      <c r="A210" s="7" t="s">
        <v>121</v>
      </c>
      <c r="B210" s="7" t="s">
        <v>57</v>
      </c>
      <c r="C210" s="8">
        <v>1865</v>
      </c>
      <c r="D210" s="9">
        <v>260</v>
      </c>
      <c r="E210" s="8">
        <v>350</v>
      </c>
      <c r="F210" s="10">
        <v>652750</v>
      </c>
      <c r="G210" s="10">
        <v>26110</v>
      </c>
      <c r="H210" s="10">
        <v>626640</v>
      </c>
      <c r="I210" s="11">
        <v>484900</v>
      </c>
      <c r="J210" s="12">
        <v>41641</v>
      </c>
    </row>
    <row r="211" spans="1:10" ht="12.75" x14ac:dyDescent="0.2">
      <c r="A211" s="7" t="s">
        <v>122</v>
      </c>
      <c r="B211" s="7" t="s">
        <v>57</v>
      </c>
      <c r="C211" s="8">
        <v>1074</v>
      </c>
      <c r="D211" s="9">
        <v>260</v>
      </c>
      <c r="E211" s="8">
        <v>125</v>
      </c>
      <c r="F211" s="10">
        <v>134250</v>
      </c>
      <c r="G211" s="10">
        <v>5370</v>
      </c>
      <c r="H211" s="10">
        <v>128880</v>
      </c>
      <c r="I211" s="11">
        <v>128880</v>
      </c>
      <c r="J211" s="12">
        <v>41643</v>
      </c>
    </row>
    <row r="212" spans="1:10" ht="12.75" x14ac:dyDescent="0.2">
      <c r="A212" s="7" t="s">
        <v>53</v>
      </c>
      <c r="B212" s="7" t="s">
        <v>57</v>
      </c>
      <c r="C212" s="8">
        <v>1907</v>
      </c>
      <c r="D212" s="9">
        <v>260</v>
      </c>
      <c r="E212" s="8">
        <v>350</v>
      </c>
      <c r="F212" s="10">
        <v>667450</v>
      </c>
      <c r="G212" s="10">
        <v>26698</v>
      </c>
      <c r="H212" s="10">
        <v>640752</v>
      </c>
      <c r="I212" s="11">
        <v>495820</v>
      </c>
      <c r="J212" s="12">
        <v>41648</v>
      </c>
    </row>
    <row r="213" spans="1:10" ht="12.75" x14ac:dyDescent="0.2">
      <c r="A213" s="7" t="s">
        <v>55</v>
      </c>
      <c r="B213" s="7" t="s">
        <v>57</v>
      </c>
      <c r="C213" s="8">
        <v>671</v>
      </c>
      <c r="D213" s="9">
        <v>260</v>
      </c>
      <c r="E213" s="8">
        <v>15</v>
      </c>
      <c r="F213" s="10">
        <v>10065</v>
      </c>
      <c r="G213" s="10">
        <v>402.6</v>
      </c>
      <c r="H213" s="10">
        <v>9662.4</v>
      </c>
      <c r="I213" s="11">
        <v>6710</v>
      </c>
      <c r="J213" s="12">
        <v>41284</v>
      </c>
    </row>
    <row r="214" spans="1:10" ht="12.75" x14ac:dyDescent="0.2">
      <c r="A214" s="7" t="s">
        <v>123</v>
      </c>
      <c r="B214" s="7" t="s">
        <v>57</v>
      </c>
      <c r="C214" s="8">
        <v>1778</v>
      </c>
      <c r="D214" s="9">
        <v>260</v>
      </c>
      <c r="E214" s="8">
        <v>350</v>
      </c>
      <c r="F214" s="10">
        <v>622300</v>
      </c>
      <c r="G214" s="10">
        <v>24892</v>
      </c>
      <c r="H214" s="10">
        <v>597408</v>
      </c>
      <c r="I214" s="11">
        <v>462280</v>
      </c>
      <c r="J214" s="12">
        <v>41286</v>
      </c>
    </row>
    <row r="215" spans="1:10" ht="12.75" x14ac:dyDescent="0.2">
      <c r="A215" s="7" t="s">
        <v>24</v>
      </c>
      <c r="B215" s="7" t="s">
        <v>124</v>
      </c>
      <c r="C215" s="8">
        <v>1159</v>
      </c>
      <c r="D215" s="9">
        <v>5</v>
      </c>
      <c r="E215" s="8">
        <v>7</v>
      </c>
      <c r="F215" s="10">
        <v>8113</v>
      </c>
      <c r="G215" s="10">
        <v>405.65</v>
      </c>
      <c r="H215" s="10">
        <v>7707.35</v>
      </c>
      <c r="I215" s="11">
        <v>5795</v>
      </c>
      <c r="J215" s="12">
        <v>41284</v>
      </c>
    </row>
    <row r="216" spans="1:10" ht="12.75" x14ac:dyDescent="0.2">
      <c r="A216" s="7" t="s">
        <v>29</v>
      </c>
      <c r="B216" s="7" t="s">
        <v>124</v>
      </c>
      <c r="C216" s="8">
        <v>1372</v>
      </c>
      <c r="D216" s="9">
        <v>10</v>
      </c>
      <c r="E216" s="8">
        <v>7</v>
      </c>
      <c r="F216" s="10">
        <v>9604</v>
      </c>
      <c r="G216" s="10">
        <v>480.2</v>
      </c>
      <c r="H216" s="10">
        <v>9123.7999999999993</v>
      </c>
      <c r="I216" s="11">
        <v>6860</v>
      </c>
      <c r="J216" s="12">
        <v>41640</v>
      </c>
    </row>
    <row r="217" spans="1:10" ht="12.75" x14ac:dyDescent="0.2">
      <c r="A217" s="7" t="s">
        <v>26</v>
      </c>
      <c r="B217" s="7" t="s">
        <v>124</v>
      </c>
      <c r="C217" s="8">
        <v>2349</v>
      </c>
      <c r="D217" s="9">
        <v>10</v>
      </c>
      <c r="E217" s="8">
        <v>7</v>
      </c>
      <c r="F217" s="10">
        <v>16443</v>
      </c>
      <c r="G217" s="10">
        <v>822.15</v>
      </c>
      <c r="H217" s="10">
        <v>15620.85</v>
      </c>
      <c r="I217" s="11">
        <v>11745</v>
      </c>
      <c r="J217" s="12">
        <v>41283</v>
      </c>
    </row>
    <row r="218" spans="1:10" ht="12.75" x14ac:dyDescent="0.2">
      <c r="A218" s="7" t="s">
        <v>31</v>
      </c>
      <c r="B218" s="7" t="s">
        <v>124</v>
      </c>
      <c r="C218" s="8">
        <v>2689</v>
      </c>
      <c r="D218" s="9">
        <v>10</v>
      </c>
      <c r="E218" s="8">
        <v>7</v>
      </c>
      <c r="F218" s="10">
        <v>18823</v>
      </c>
      <c r="G218" s="10">
        <v>941.15</v>
      </c>
      <c r="H218" s="10">
        <v>17881.849999999999</v>
      </c>
      <c r="I218" s="11">
        <v>13445</v>
      </c>
      <c r="J218" s="12">
        <v>41649</v>
      </c>
    </row>
    <row r="219" spans="1:10" ht="12.75" x14ac:dyDescent="0.2">
      <c r="A219" s="7" t="s">
        <v>28</v>
      </c>
      <c r="B219" s="7" t="s">
        <v>124</v>
      </c>
      <c r="C219" s="8">
        <v>2431</v>
      </c>
      <c r="D219" s="9">
        <v>10</v>
      </c>
      <c r="E219" s="8">
        <v>12</v>
      </c>
      <c r="F219" s="10">
        <v>29172</v>
      </c>
      <c r="G219" s="10">
        <v>1458.6</v>
      </c>
      <c r="H219" s="10">
        <v>27713.4</v>
      </c>
      <c r="I219" s="11">
        <v>7293</v>
      </c>
      <c r="J219" s="12">
        <v>41651</v>
      </c>
    </row>
    <row r="220" spans="1:10" ht="12.75" x14ac:dyDescent="0.2">
      <c r="A220" s="7" t="s">
        <v>125</v>
      </c>
      <c r="B220" s="7" t="s">
        <v>124</v>
      </c>
      <c r="C220" s="8">
        <v>2431</v>
      </c>
      <c r="D220" s="9">
        <v>120</v>
      </c>
      <c r="E220" s="8">
        <v>12</v>
      </c>
      <c r="F220" s="10">
        <v>29172</v>
      </c>
      <c r="G220" s="10">
        <v>1458.6</v>
      </c>
      <c r="H220" s="10">
        <v>27713.4</v>
      </c>
      <c r="I220" s="11">
        <v>7293</v>
      </c>
      <c r="J220" s="12">
        <v>41651</v>
      </c>
    </row>
    <row r="221" spans="1:10" ht="12.75" x14ac:dyDescent="0.2">
      <c r="A221" s="7" t="s">
        <v>83</v>
      </c>
      <c r="B221" s="7" t="s">
        <v>124</v>
      </c>
      <c r="C221" s="8">
        <v>2689</v>
      </c>
      <c r="D221" s="9">
        <v>250</v>
      </c>
      <c r="E221" s="8">
        <v>7</v>
      </c>
      <c r="F221" s="10">
        <v>18823</v>
      </c>
      <c r="G221" s="10">
        <v>941.15</v>
      </c>
      <c r="H221" s="10">
        <v>17881.849999999999</v>
      </c>
      <c r="I221" s="11">
        <v>13445</v>
      </c>
      <c r="J221" s="12">
        <v>41649</v>
      </c>
    </row>
    <row r="222" spans="1:10" ht="12.75" x14ac:dyDescent="0.2">
      <c r="A222" s="7" t="s">
        <v>121</v>
      </c>
      <c r="B222" s="7" t="s">
        <v>124</v>
      </c>
      <c r="C222" s="8">
        <v>1683</v>
      </c>
      <c r="D222" s="9">
        <v>260</v>
      </c>
      <c r="E222" s="8">
        <v>7</v>
      </c>
      <c r="F222" s="10">
        <v>11781</v>
      </c>
      <c r="G222" s="10">
        <v>589.04999999999995</v>
      </c>
      <c r="H222" s="10">
        <v>11191.95</v>
      </c>
      <c r="I222" s="11">
        <v>8415</v>
      </c>
      <c r="J222" s="12">
        <v>41646</v>
      </c>
    </row>
    <row r="223" spans="1:10" ht="12.75" x14ac:dyDescent="0.2">
      <c r="A223" s="7" t="s">
        <v>126</v>
      </c>
      <c r="B223" s="7" t="s">
        <v>124</v>
      </c>
      <c r="C223" s="8">
        <v>1123</v>
      </c>
      <c r="D223" s="9">
        <v>260</v>
      </c>
      <c r="E223" s="8">
        <v>12</v>
      </c>
      <c r="F223" s="10">
        <v>13476</v>
      </c>
      <c r="G223" s="10">
        <v>673.8</v>
      </c>
      <c r="H223" s="10">
        <v>12802.2</v>
      </c>
      <c r="I223" s="11">
        <v>3369</v>
      </c>
      <c r="J223" s="12">
        <v>41647</v>
      </c>
    </row>
    <row r="224" spans="1:10" ht="12.75" x14ac:dyDescent="0.2">
      <c r="A224" s="7" t="s">
        <v>53</v>
      </c>
      <c r="B224" s="7" t="s">
        <v>124</v>
      </c>
      <c r="C224" s="8">
        <v>1159</v>
      </c>
      <c r="D224" s="9">
        <v>260</v>
      </c>
      <c r="E224" s="8">
        <v>7</v>
      </c>
      <c r="F224" s="10">
        <v>8113</v>
      </c>
      <c r="G224" s="10">
        <v>405.65</v>
      </c>
      <c r="H224" s="10">
        <v>7707.35</v>
      </c>
      <c r="I224" s="11">
        <v>5795</v>
      </c>
      <c r="J224" s="12">
        <v>41284</v>
      </c>
    </row>
    <row r="225" spans="1:10" ht="12.75" x14ac:dyDescent="0.2">
      <c r="A225" s="7" t="s">
        <v>64</v>
      </c>
      <c r="B225" s="7" t="s">
        <v>124</v>
      </c>
      <c r="C225" s="8">
        <v>1865</v>
      </c>
      <c r="D225" s="9">
        <v>3</v>
      </c>
      <c r="E225" s="8">
        <v>12</v>
      </c>
      <c r="F225" s="10">
        <v>22380</v>
      </c>
      <c r="G225" s="10">
        <v>1119</v>
      </c>
      <c r="H225" s="10">
        <v>21261</v>
      </c>
      <c r="I225" s="11">
        <v>5595</v>
      </c>
      <c r="J225" s="12">
        <v>41641</v>
      </c>
    </row>
    <row r="226" spans="1:10" ht="12.75" x14ac:dyDescent="0.2">
      <c r="A226" s="7" t="s">
        <v>65</v>
      </c>
      <c r="B226" s="7" t="s">
        <v>124</v>
      </c>
      <c r="C226" s="8">
        <v>1116</v>
      </c>
      <c r="D226" s="9">
        <v>3</v>
      </c>
      <c r="E226" s="8">
        <v>12</v>
      </c>
      <c r="F226" s="10">
        <v>13392</v>
      </c>
      <c r="G226" s="10">
        <v>669.6</v>
      </c>
      <c r="H226" s="10">
        <v>12722.4</v>
      </c>
      <c r="I226" s="11">
        <v>3348</v>
      </c>
      <c r="J226" s="12">
        <v>41641</v>
      </c>
    </row>
    <row r="227" spans="1:10" ht="12.75" x14ac:dyDescent="0.2">
      <c r="A227" s="7" t="s">
        <v>67</v>
      </c>
      <c r="B227" s="7" t="s">
        <v>124</v>
      </c>
      <c r="C227" s="8">
        <v>1563</v>
      </c>
      <c r="D227" s="9">
        <v>3</v>
      </c>
      <c r="E227" s="8">
        <v>20</v>
      </c>
      <c r="F227" s="10">
        <v>31260</v>
      </c>
      <c r="G227" s="10">
        <v>1563</v>
      </c>
      <c r="H227" s="10">
        <v>29697</v>
      </c>
      <c r="I227" s="11">
        <v>15630</v>
      </c>
      <c r="J227" s="12">
        <v>41644</v>
      </c>
    </row>
    <row r="228" spans="1:10" ht="12.75" x14ac:dyDescent="0.2">
      <c r="A228" s="7" t="s">
        <v>127</v>
      </c>
      <c r="B228" s="7" t="s">
        <v>124</v>
      </c>
      <c r="C228" s="8">
        <v>991</v>
      </c>
      <c r="D228" s="9">
        <v>3</v>
      </c>
      <c r="E228" s="8">
        <v>300</v>
      </c>
      <c r="F228" s="10">
        <v>297300</v>
      </c>
      <c r="G228" s="10">
        <v>14865</v>
      </c>
      <c r="H228" s="10">
        <v>282435</v>
      </c>
      <c r="I228" s="11">
        <v>247750</v>
      </c>
      <c r="J228" s="12">
        <v>41645</v>
      </c>
    </row>
    <row r="229" spans="1:10" ht="12.75" x14ac:dyDescent="0.2">
      <c r="A229" s="7" t="s">
        <v>13</v>
      </c>
      <c r="B229" s="7" t="s">
        <v>124</v>
      </c>
      <c r="C229" s="8">
        <v>1016</v>
      </c>
      <c r="D229" s="9">
        <v>3</v>
      </c>
      <c r="E229" s="8">
        <v>7</v>
      </c>
      <c r="F229" s="10">
        <v>7112</v>
      </c>
      <c r="G229" s="10">
        <v>355.6</v>
      </c>
      <c r="H229" s="10">
        <v>6756.4</v>
      </c>
      <c r="I229" s="11">
        <v>5080</v>
      </c>
      <c r="J229" s="12">
        <v>41285</v>
      </c>
    </row>
    <row r="230" spans="1:10" ht="12.75" x14ac:dyDescent="0.2">
      <c r="A230" s="7" t="s">
        <v>16</v>
      </c>
      <c r="B230" s="7" t="s">
        <v>124</v>
      </c>
      <c r="C230" s="8">
        <v>2791</v>
      </c>
      <c r="D230" s="9">
        <v>3</v>
      </c>
      <c r="E230" s="8">
        <v>15</v>
      </c>
      <c r="F230" s="10">
        <v>41865</v>
      </c>
      <c r="G230" s="10">
        <v>2093.25</v>
      </c>
      <c r="H230" s="10">
        <v>39771.75</v>
      </c>
      <c r="I230" s="11">
        <v>27910</v>
      </c>
      <c r="J230" s="12">
        <v>41650</v>
      </c>
    </row>
    <row r="231" spans="1:10" ht="12.75" x14ac:dyDescent="0.2">
      <c r="A231" s="7" t="s">
        <v>61</v>
      </c>
      <c r="B231" s="7" t="s">
        <v>124</v>
      </c>
      <c r="C231" s="8">
        <v>570</v>
      </c>
      <c r="D231" s="9">
        <v>3</v>
      </c>
      <c r="E231" s="8">
        <v>7</v>
      </c>
      <c r="F231" s="10">
        <v>3990</v>
      </c>
      <c r="G231" s="10">
        <v>199.5</v>
      </c>
      <c r="H231" s="10">
        <v>3790.5</v>
      </c>
      <c r="I231" s="11">
        <v>2850</v>
      </c>
      <c r="J231" s="12">
        <v>41651</v>
      </c>
    </row>
    <row r="232" spans="1:10" ht="12.75" x14ac:dyDescent="0.2">
      <c r="A232" s="7" t="s">
        <v>67</v>
      </c>
      <c r="B232" s="7" t="s">
        <v>124</v>
      </c>
      <c r="C232" s="8">
        <v>2487</v>
      </c>
      <c r="D232" s="9">
        <v>3</v>
      </c>
      <c r="E232" s="8">
        <v>7</v>
      </c>
      <c r="F232" s="10">
        <v>17409</v>
      </c>
      <c r="G232" s="10">
        <v>870.45</v>
      </c>
      <c r="H232" s="10">
        <v>16538.55</v>
      </c>
      <c r="I232" s="11">
        <v>12435</v>
      </c>
      <c r="J232" s="12">
        <v>41651</v>
      </c>
    </row>
    <row r="233" spans="1:10" ht="12.75" x14ac:dyDescent="0.2">
      <c r="A233" s="7" t="s">
        <v>19</v>
      </c>
      <c r="B233" s="7" t="s">
        <v>124</v>
      </c>
      <c r="C233" s="8">
        <v>1384.5</v>
      </c>
      <c r="D233" s="9">
        <v>5</v>
      </c>
      <c r="E233" s="8">
        <v>350</v>
      </c>
      <c r="F233" s="10">
        <v>484575</v>
      </c>
      <c r="G233" s="10">
        <v>24228.75</v>
      </c>
      <c r="H233" s="10">
        <v>460346.25</v>
      </c>
      <c r="I233" s="11">
        <v>359970</v>
      </c>
      <c r="J233" s="12">
        <v>41640</v>
      </c>
    </row>
    <row r="234" spans="1:10" ht="12.75" x14ac:dyDescent="0.2">
      <c r="A234" s="7" t="s">
        <v>70</v>
      </c>
      <c r="B234" s="7" t="s">
        <v>124</v>
      </c>
      <c r="C234" s="8">
        <v>3627</v>
      </c>
      <c r="D234" s="9">
        <v>5</v>
      </c>
      <c r="E234" s="8">
        <v>125</v>
      </c>
      <c r="F234" s="10">
        <v>453375</v>
      </c>
      <c r="G234" s="10">
        <v>22668.75</v>
      </c>
      <c r="H234" s="10">
        <v>430706.25</v>
      </c>
      <c r="I234" s="11">
        <v>435240</v>
      </c>
      <c r="J234" s="12">
        <v>41646</v>
      </c>
    </row>
    <row r="235" spans="1:10" ht="12.75" x14ac:dyDescent="0.2">
      <c r="A235" s="7" t="s">
        <v>128</v>
      </c>
      <c r="B235" s="7" t="s">
        <v>124</v>
      </c>
      <c r="C235" s="8">
        <v>720</v>
      </c>
      <c r="D235" s="9">
        <v>5</v>
      </c>
      <c r="E235" s="8">
        <v>350</v>
      </c>
      <c r="F235" s="10">
        <v>252000</v>
      </c>
      <c r="G235" s="10">
        <v>12600</v>
      </c>
      <c r="H235" s="10">
        <v>239400</v>
      </c>
      <c r="I235" s="11">
        <v>187200</v>
      </c>
      <c r="J235" s="12">
        <v>41283</v>
      </c>
    </row>
    <row r="236" spans="1:10" ht="12.75" x14ac:dyDescent="0.2">
      <c r="A236" s="7" t="s">
        <v>20</v>
      </c>
      <c r="B236" s="7" t="s">
        <v>124</v>
      </c>
      <c r="C236" s="8">
        <v>2342</v>
      </c>
      <c r="D236" s="9">
        <v>5</v>
      </c>
      <c r="E236" s="8">
        <v>12</v>
      </c>
      <c r="F236" s="10">
        <v>28104</v>
      </c>
      <c r="G236" s="10">
        <v>1405.2</v>
      </c>
      <c r="H236" s="10">
        <v>26698.799999999999</v>
      </c>
      <c r="I236" s="11">
        <v>7026</v>
      </c>
      <c r="J236" s="12">
        <v>41650</v>
      </c>
    </row>
    <row r="237" spans="1:10" ht="12.75" x14ac:dyDescent="0.2">
      <c r="A237" s="7" t="s">
        <v>23</v>
      </c>
      <c r="B237" s="7" t="s">
        <v>124</v>
      </c>
      <c r="C237" s="8">
        <v>1100</v>
      </c>
      <c r="D237" s="9">
        <v>5</v>
      </c>
      <c r="E237" s="8">
        <v>300</v>
      </c>
      <c r="F237" s="10">
        <v>330000</v>
      </c>
      <c r="G237" s="10">
        <v>16500</v>
      </c>
      <c r="H237" s="10">
        <v>313500</v>
      </c>
      <c r="I237" s="11">
        <v>275000</v>
      </c>
      <c r="J237" s="12">
        <v>41286</v>
      </c>
    </row>
    <row r="238" spans="1:10" ht="12.75" x14ac:dyDescent="0.2">
      <c r="A238" s="7" t="s">
        <v>56</v>
      </c>
      <c r="B238" s="7" t="s">
        <v>124</v>
      </c>
      <c r="C238" s="8">
        <v>1303</v>
      </c>
      <c r="D238" s="9">
        <v>10</v>
      </c>
      <c r="E238" s="8">
        <v>20</v>
      </c>
      <c r="F238" s="10">
        <v>26060</v>
      </c>
      <c r="G238" s="10">
        <v>1303</v>
      </c>
      <c r="H238" s="10">
        <v>24757</v>
      </c>
      <c r="I238" s="11">
        <v>13030</v>
      </c>
      <c r="J238" s="12">
        <v>41641</v>
      </c>
    </row>
    <row r="239" spans="1:10" ht="12.75" x14ac:dyDescent="0.2">
      <c r="A239" s="7" t="s">
        <v>72</v>
      </c>
      <c r="B239" s="7" t="s">
        <v>124</v>
      </c>
      <c r="C239" s="8">
        <v>2992</v>
      </c>
      <c r="D239" s="9">
        <v>10</v>
      </c>
      <c r="E239" s="8">
        <v>125</v>
      </c>
      <c r="F239" s="10">
        <v>374000</v>
      </c>
      <c r="G239" s="10">
        <v>18700</v>
      </c>
      <c r="H239" s="10">
        <v>355300</v>
      </c>
      <c r="I239" s="11">
        <v>359040</v>
      </c>
      <c r="J239" s="12">
        <v>41642</v>
      </c>
    </row>
    <row r="240" spans="1:10" ht="12.75" x14ac:dyDescent="0.2">
      <c r="A240" s="7" t="s">
        <v>73</v>
      </c>
      <c r="B240" s="7" t="s">
        <v>124</v>
      </c>
      <c r="C240" s="8">
        <v>2385</v>
      </c>
      <c r="D240" s="9">
        <v>10</v>
      </c>
      <c r="E240" s="8">
        <v>125</v>
      </c>
      <c r="F240" s="10">
        <v>298125</v>
      </c>
      <c r="G240" s="10">
        <v>14906.25</v>
      </c>
      <c r="H240" s="10">
        <v>283218.75</v>
      </c>
      <c r="I240" s="11">
        <v>286200</v>
      </c>
      <c r="J240" s="12">
        <v>41642</v>
      </c>
    </row>
    <row r="241" spans="1:10" ht="12.75" x14ac:dyDescent="0.2">
      <c r="A241" s="7" t="s">
        <v>33</v>
      </c>
      <c r="B241" s="7" t="s">
        <v>124</v>
      </c>
      <c r="C241" s="8">
        <v>1607</v>
      </c>
      <c r="D241" s="9">
        <v>10</v>
      </c>
      <c r="E241" s="8">
        <v>300</v>
      </c>
      <c r="F241" s="10">
        <v>482100</v>
      </c>
      <c r="G241" s="10">
        <v>24105</v>
      </c>
      <c r="H241" s="10">
        <v>457995</v>
      </c>
      <c r="I241" s="11">
        <v>401750</v>
      </c>
      <c r="J241" s="12">
        <v>41643</v>
      </c>
    </row>
    <row r="242" spans="1:10" ht="12.75" x14ac:dyDescent="0.2">
      <c r="A242" s="7" t="s">
        <v>34</v>
      </c>
      <c r="B242" s="7" t="s">
        <v>124</v>
      </c>
      <c r="C242" s="8">
        <v>2327</v>
      </c>
      <c r="D242" s="9">
        <v>10</v>
      </c>
      <c r="E242" s="8">
        <v>7</v>
      </c>
      <c r="F242" s="10">
        <v>16289</v>
      </c>
      <c r="G242" s="10">
        <v>814.45</v>
      </c>
      <c r="H242" s="10">
        <v>15474.55</v>
      </c>
      <c r="I242" s="11">
        <v>11635</v>
      </c>
      <c r="J242" s="12">
        <v>41644</v>
      </c>
    </row>
    <row r="243" spans="1:10" ht="12.75" x14ac:dyDescent="0.2">
      <c r="A243" s="7" t="s">
        <v>76</v>
      </c>
      <c r="B243" s="7" t="s">
        <v>124</v>
      </c>
      <c r="C243" s="8">
        <v>991</v>
      </c>
      <c r="D243" s="9">
        <v>10</v>
      </c>
      <c r="E243" s="8">
        <v>300</v>
      </c>
      <c r="F243" s="10">
        <v>297300</v>
      </c>
      <c r="G243" s="10">
        <v>14865</v>
      </c>
      <c r="H243" s="10">
        <v>282435</v>
      </c>
      <c r="I243" s="11">
        <v>247750</v>
      </c>
      <c r="J243" s="12">
        <v>41645</v>
      </c>
    </row>
    <row r="244" spans="1:10" ht="12.75" x14ac:dyDescent="0.2">
      <c r="A244" s="7" t="s">
        <v>34</v>
      </c>
      <c r="B244" s="7" t="s">
        <v>124</v>
      </c>
      <c r="C244" s="8">
        <v>602</v>
      </c>
      <c r="D244" s="9">
        <v>10</v>
      </c>
      <c r="E244" s="8">
        <v>350</v>
      </c>
      <c r="F244" s="10">
        <v>210700</v>
      </c>
      <c r="G244" s="10">
        <v>10535</v>
      </c>
      <c r="H244" s="10">
        <v>200165</v>
      </c>
      <c r="I244" s="11">
        <v>156520</v>
      </c>
      <c r="J244" s="12">
        <v>41645</v>
      </c>
    </row>
    <row r="245" spans="1:10" ht="12.75" x14ac:dyDescent="0.2">
      <c r="A245" s="7" t="s">
        <v>32</v>
      </c>
      <c r="B245" s="7" t="s">
        <v>124</v>
      </c>
      <c r="C245" s="8">
        <v>2620</v>
      </c>
      <c r="D245" s="9">
        <v>10</v>
      </c>
      <c r="E245" s="8">
        <v>15</v>
      </c>
      <c r="F245" s="10">
        <v>39300</v>
      </c>
      <c r="G245" s="10">
        <v>1965</v>
      </c>
      <c r="H245" s="10">
        <v>37335</v>
      </c>
      <c r="I245" s="11">
        <v>26200</v>
      </c>
      <c r="J245" s="12">
        <v>41648</v>
      </c>
    </row>
    <row r="246" spans="1:10" ht="12.75" x14ac:dyDescent="0.2">
      <c r="A246" s="7" t="s">
        <v>26</v>
      </c>
      <c r="B246" s="7" t="s">
        <v>124</v>
      </c>
      <c r="C246" s="8">
        <v>1228</v>
      </c>
      <c r="D246" s="9">
        <v>10</v>
      </c>
      <c r="E246" s="8">
        <v>350</v>
      </c>
      <c r="F246" s="10">
        <v>429800</v>
      </c>
      <c r="G246" s="10">
        <v>21490</v>
      </c>
      <c r="H246" s="10">
        <v>408310</v>
      </c>
      <c r="I246" s="11">
        <v>319280</v>
      </c>
      <c r="J246" s="12">
        <v>41284</v>
      </c>
    </row>
    <row r="247" spans="1:10" ht="12.75" x14ac:dyDescent="0.2">
      <c r="A247" s="7" t="s">
        <v>26</v>
      </c>
      <c r="B247" s="7" t="s">
        <v>124</v>
      </c>
      <c r="C247" s="8">
        <v>1389</v>
      </c>
      <c r="D247" s="9">
        <v>10</v>
      </c>
      <c r="E247" s="8">
        <v>20</v>
      </c>
      <c r="F247" s="10">
        <v>27780</v>
      </c>
      <c r="G247" s="10">
        <v>1389</v>
      </c>
      <c r="H247" s="10">
        <v>26391</v>
      </c>
      <c r="I247" s="11">
        <v>13890</v>
      </c>
      <c r="J247" s="12">
        <v>41284</v>
      </c>
    </row>
    <row r="248" spans="1:10" ht="12.75" x14ac:dyDescent="0.2">
      <c r="A248" s="7" t="s">
        <v>72</v>
      </c>
      <c r="B248" s="7" t="s">
        <v>124</v>
      </c>
      <c r="C248" s="8">
        <v>861</v>
      </c>
      <c r="D248" s="9">
        <v>10</v>
      </c>
      <c r="E248" s="8">
        <v>125</v>
      </c>
      <c r="F248" s="10">
        <v>107625</v>
      </c>
      <c r="G248" s="10">
        <v>5381.25</v>
      </c>
      <c r="H248" s="10">
        <v>102243.75</v>
      </c>
      <c r="I248" s="11">
        <v>103320</v>
      </c>
      <c r="J248" s="12">
        <v>41649</v>
      </c>
    </row>
    <row r="249" spans="1:10" ht="12.75" x14ac:dyDescent="0.2">
      <c r="A249" s="7" t="s">
        <v>73</v>
      </c>
      <c r="B249" s="7" t="s">
        <v>124</v>
      </c>
      <c r="C249" s="8">
        <v>704</v>
      </c>
      <c r="D249" s="9">
        <v>10</v>
      </c>
      <c r="E249" s="8">
        <v>125</v>
      </c>
      <c r="F249" s="10">
        <v>88000</v>
      </c>
      <c r="G249" s="10">
        <v>4400</v>
      </c>
      <c r="H249" s="10">
        <v>83600</v>
      </c>
      <c r="I249" s="11">
        <v>84480</v>
      </c>
      <c r="J249" s="12">
        <v>41284</v>
      </c>
    </row>
    <row r="250" spans="1:10" ht="12.75" x14ac:dyDescent="0.2">
      <c r="A250" s="7" t="s">
        <v>26</v>
      </c>
      <c r="B250" s="7" t="s">
        <v>124</v>
      </c>
      <c r="C250" s="8">
        <v>1802</v>
      </c>
      <c r="D250" s="9">
        <v>10</v>
      </c>
      <c r="E250" s="8">
        <v>20</v>
      </c>
      <c r="F250" s="10">
        <v>36040</v>
      </c>
      <c r="G250" s="10">
        <v>1802</v>
      </c>
      <c r="H250" s="10">
        <v>34238</v>
      </c>
      <c r="I250" s="11">
        <v>18020</v>
      </c>
      <c r="J250" s="12">
        <v>41286</v>
      </c>
    </row>
    <row r="251" spans="1:10" ht="12.75" x14ac:dyDescent="0.2">
      <c r="A251" s="7" t="s">
        <v>34</v>
      </c>
      <c r="B251" s="7" t="s">
        <v>124</v>
      </c>
      <c r="C251" s="8">
        <v>2663</v>
      </c>
      <c r="D251" s="9">
        <v>10</v>
      </c>
      <c r="E251" s="8">
        <v>20</v>
      </c>
      <c r="F251" s="10">
        <v>53260</v>
      </c>
      <c r="G251" s="10">
        <v>2663</v>
      </c>
      <c r="H251" s="10">
        <v>50597</v>
      </c>
      <c r="I251" s="11">
        <v>26630</v>
      </c>
      <c r="J251" s="12">
        <v>41651</v>
      </c>
    </row>
    <row r="252" spans="1:10" ht="12.75" x14ac:dyDescent="0.2">
      <c r="A252" s="7" t="s">
        <v>56</v>
      </c>
      <c r="B252" s="7" t="s">
        <v>124</v>
      </c>
      <c r="C252" s="8">
        <v>2136</v>
      </c>
      <c r="D252" s="9">
        <v>10</v>
      </c>
      <c r="E252" s="8">
        <v>7</v>
      </c>
      <c r="F252" s="10">
        <v>14952</v>
      </c>
      <c r="G252" s="10">
        <v>747.6</v>
      </c>
      <c r="H252" s="10">
        <v>14204.4</v>
      </c>
      <c r="I252" s="11">
        <v>10680</v>
      </c>
      <c r="J252" s="12">
        <v>41286</v>
      </c>
    </row>
    <row r="253" spans="1:10" ht="12.75" x14ac:dyDescent="0.2">
      <c r="A253" s="7" t="s">
        <v>75</v>
      </c>
      <c r="B253" s="7" t="s">
        <v>124</v>
      </c>
      <c r="C253" s="8">
        <v>2116</v>
      </c>
      <c r="D253" s="9">
        <v>10</v>
      </c>
      <c r="E253" s="8">
        <v>15</v>
      </c>
      <c r="F253" s="10">
        <v>31740</v>
      </c>
      <c r="G253" s="10">
        <v>1587</v>
      </c>
      <c r="H253" s="10">
        <v>30153</v>
      </c>
      <c r="I253" s="11">
        <v>21160</v>
      </c>
      <c r="J253" s="12">
        <v>41286</v>
      </c>
    </row>
    <row r="254" spans="1:10" ht="12.75" x14ac:dyDescent="0.2">
      <c r="A254" s="7" t="s">
        <v>129</v>
      </c>
      <c r="B254" s="7" t="s">
        <v>124</v>
      </c>
      <c r="C254" s="8">
        <v>555</v>
      </c>
      <c r="D254" s="9">
        <v>120</v>
      </c>
      <c r="E254" s="8">
        <v>15</v>
      </c>
      <c r="F254" s="10">
        <v>8325</v>
      </c>
      <c r="G254" s="10">
        <v>416.25</v>
      </c>
      <c r="H254" s="10">
        <v>7908.75</v>
      </c>
      <c r="I254" s="11">
        <v>5550</v>
      </c>
      <c r="J254" s="12">
        <v>41640</v>
      </c>
    </row>
    <row r="255" spans="1:10" ht="12.75" x14ac:dyDescent="0.2">
      <c r="A255" s="7" t="s">
        <v>130</v>
      </c>
      <c r="B255" s="7" t="s">
        <v>124</v>
      </c>
      <c r="C255" s="8">
        <v>2861</v>
      </c>
      <c r="D255" s="9">
        <v>120</v>
      </c>
      <c r="E255" s="8">
        <v>15</v>
      </c>
      <c r="F255" s="10">
        <v>42915</v>
      </c>
      <c r="G255" s="10">
        <v>2145.75</v>
      </c>
      <c r="H255" s="10">
        <v>40769.25</v>
      </c>
      <c r="I255" s="11">
        <v>28610</v>
      </c>
      <c r="J255" s="12">
        <v>41640</v>
      </c>
    </row>
    <row r="256" spans="1:10" ht="12.75" x14ac:dyDescent="0.2">
      <c r="A256" s="7" t="s">
        <v>99</v>
      </c>
      <c r="B256" s="7" t="s">
        <v>124</v>
      </c>
      <c r="C256" s="8">
        <v>807</v>
      </c>
      <c r="D256" s="9">
        <v>120</v>
      </c>
      <c r="E256" s="8">
        <v>125</v>
      </c>
      <c r="F256" s="10">
        <v>100875</v>
      </c>
      <c r="G256" s="10">
        <v>5043.75</v>
      </c>
      <c r="H256" s="10">
        <v>95831.25</v>
      </c>
      <c r="I256" s="11">
        <v>96840</v>
      </c>
      <c r="J256" s="12">
        <v>41641</v>
      </c>
    </row>
    <row r="257" spans="1:10" ht="12.75" x14ac:dyDescent="0.2">
      <c r="A257" s="7" t="s">
        <v>98</v>
      </c>
      <c r="B257" s="7" t="s">
        <v>124</v>
      </c>
      <c r="C257" s="8">
        <v>602</v>
      </c>
      <c r="D257" s="9">
        <v>120</v>
      </c>
      <c r="E257" s="8">
        <v>350</v>
      </c>
      <c r="F257" s="10">
        <v>210700</v>
      </c>
      <c r="G257" s="10">
        <v>10535</v>
      </c>
      <c r="H257" s="10">
        <v>200165</v>
      </c>
      <c r="I257" s="11">
        <v>156520</v>
      </c>
      <c r="J257" s="12">
        <v>41645</v>
      </c>
    </row>
    <row r="258" spans="1:10" ht="12.75" x14ac:dyDescent="0.2">
      <c r="A258" s="7" t="s">
        <v>98</v>
      </c>
      <c r="B258" s="7" t="s">
        <v>124</v>
      </c>
      <c r="C258" s="8">
        <v>2832</v>
      </c>
      <c r="D258" s="9">
        <v>120</v>
      </c>
      <c r="E258" s="8">
        <v>20</v>
      </c>
      <c r="F258" s="10">
        <v>56640</v>
      </c>
      <c r="G258" s="10">
        <v>2832</v>
      </c>
      <c r="H258" s="10">
        <v>53808</v>
      </c>
      <c r="I258" s="11">
        <v>28320</v>
      </c>
      <c r="J258" s="12">
        <v>41647</v>
      </c>
    </row>
    <row r="259" spans="1:10" ht="12.75" x14ac:dyDescent="0.2">
      <c r="A259" s="7" t="s">
        <v>58</v>
      </c>
      <c r="B259" s="7" t="s">
        <v>124</v>
      </c>
      <c r="C259" s="8">
        <v>1579</v>
      </c>
      <c r="D259" s="9">
        <v>120</v>
      </c>
      <c r="E259" s="8">
        <v>20</v>
      </c>
      <c r="F259" s="10">
        <v>31580</v>
      </c>
      <c r="G259" s="10">
        <v>1579</v>
      </c>
      <c r="H259" s="10">
        <v>30001</v>
      </c>
      <c r="I259" s="11">
        <v>15790</v>
      </c>
      <c r="J259" s="12">
        <v>41647</v>
      </c>
    </row>
    <row r="260" spans="1:10" ht="12.75" x14ac:dyDescent="0.2">
      <c r="A260" s="7" t="s">
        <v>41</v>
      </c>
      <c r="B260" s="7" t="s">
        <v>124</v>
      </c>
      <c r="C260" s="8">
        <v>861</v>
      </c>
      <c r="D260" s="9">
        <v>120</v>
      </c>
      <c r="E260" s="8">
        <v>125</v>
      </c>
      <c r="F260" s="10">
        <v>107625</v>
      </c>
      <c r="G260" s="10">
        <v>5381.25</v>
      </c>
      <c r="H260" s="10">
        <v>102243.75</v>
      </c>
      <c r="I260" s="11">
        <v>103320</v>
      </c>
      <c r="J260" s="12">
        <v>41649</v>
      </c>
    </row>
    <row r="261" spans="1:10" ht="12.75" x14ac:dyDescent="0.2">
      <c r="A261" s="7" t="s">
        <v>38</v>
      </c>
      <c r="B261" s="7" t="s">
        <v>124</v>
      </c>
      <c r="C261" s="8">
        <v>704</v>
      </c>
      <c r="D261" s="9">
        <v>120</v>
      </c>
      <c r="E261" s="8">
        <v>125</v>
      </c>
      <c r="F261" s="10">
        <v>88000</v>
      </c>
      <c r="G261" s="10">
        <v>4400</v>
      </c>
      <c r="H261" s="10">
        <v>83600</v>
      </c>
      <c r="I261" s="11">
        <v>84480</v>
      </c>
      <c r="J261" s="12">
        <v>41284</v>
      </c>
    </row>
    <row r="262" spans="1:10" ht="12.75" x14ac:dyDescent="0.2">
      <c r="A262" s="7" t="s">
        <v>58</v>
      </c>
      <c r="B262" s="7" t="s">
        <v>124</v>
      </c>
      <c r="C262" s="8">
        <v>1033</v>
      </c>
      <c r="D262" s="9">
        <v>120</v>
      </c>
      <c r="E262" s="8">
        <v>20</v>
      </c>
      <c r="F262" s="10">
        <v>20660</v>
      </c>
      <c r="G262" s="10">
        <v>1033</v>
      </c>
      <c r="H262" s="10">
        <v>19627</v>
      </c>
      <c r="I262" s="11">
        <v>10330</v>
      </c>
      <c r="J262" s="12">
        <v>41286</v>
      </c>
    </row>
    <row r="263" spans="1:10" ht="12.75" x14ac:dyDescent="0.2">
      <c r="A263" s="7" t="s">
        <v>131</v>
      </c>
      <c r="B263" s="7" t="s">
        <v>124</v>
      </c>
      <c r="C263" s="8">
        <v>1250</v>
      </c>
      <c r="D263" s="9">
        <v>120</v>
      </c>
      <c r="E263" s="8">
        <v>300</v>
      </c>
      <c r="F263" s="10">
        <v>375000</v>
      </c>
      <c r="G263" s="10">
        <v>18750</v>
      </c>
      <c r="H263" s="10">
        <v>356250</v>
      </c>
      <c r="I263" s="11">
        <v>312500</v>
      </c>
      <c r="J263" s="12">
        <v>41651</v>
      </c>
    </row>
    <row r="264" spans="1:10" ht="12.75" x14ac:dyDescent="0.2">
      <c r="A264" s="7" t="s">
        <v>49</v>
      </c>
      <c r="B264" s="7" t="s">
        <v>124</v>
      </c>
      <c r="C264" s="8">
        <v>1389</v>
      </c>
      <c r="D264" s="9">
        <v>250</v>
      </c>
      <c r="E264" s="8">
        <v>20</v>
      </c>
      <c r="F264" s="10">
        <v>27780</v>
      </c>
      <c r="G264" s="10">
        <v>1389</v>
      </c>
      <c r="H264" s="10">
        <v>26391</v>
      </c>
      <c r="I264" s="11">
        <v>13890</v>
      </c>
      <c r="J264" s="12">
        <v>41284</v>
      </c>
    </row>
    <row r="265" spans="1:10" ht="12.75" x14ac:dyDescent="0.2">
      <c r="A265" s="7" t="s">
        <v>105</v>
      </c>
      <c r="B265" s="7" t="s">
        <v>124</v>
      </c>
      <c r="C265" s="8">
        <v>1265</v>
      </c>
      <c r="D265" s="9">
        <v>250</v>
      </c>
      <c r="E265" s="8">
        <v>20</v>
      </c>
      <c r="F265" s="10">
        <v>25300</v>
      </c>
      <c r="G265" s="10">
        <v>1265</v>
      </c>
      <c r="H265" s="10">
        <v>24035</v>
      </c>
      <c r="I265" s="11">
        <v>12650</v>
      </c>
      <c r="J265" s="12">
        <v>41285</v>
      </c>
    </row>
    <row r="266" spans="1:10" ht="12.75" x14ac:dyDescent="0.2">
      <c r="A266" s="7" t="s">
        <v>78</v>
      </c>
      <c r="B266" s="7" t="s">
        <v>124</v>
      </c>
      <c r="C266" s="8">
        <v>2297</v>
      </c>
      <c r="D266" s="9">
        <v>250</v>
      </c>
      <c r="E266" s="8">
        <v>20</v>
      </c>
      <c r="F266" s="10">
        <v>45940</v>
      </c>
      <c r="G266" s="10">
        <v>2297</v>
      </c>
      <c r="H266" s="10">
        <v>43643</v>
      </c>
      <c r="I266" s="11">
        <v>22970</v>
      </c>
      <c r="J266" s="12">
        <v>41285</v>
      </c>
    </row>
    <row r="267" spans="1:10" ht="12.75" x14ac:dyDescent="0.2">
      <c r="A267" s="7" t="s">
        <v>105</v>
      </c>
      <c r="B267" s="7" t="s">
        <v>124</v>
      </c>
      <c r="C267" s="8">
        <v>2663</v>
      </c>
      <c r="D267" s="9">
        <v>250</v>
      </c>
      <c r="E267" s="8">
        <v>20</v>
      </c>
      <c r="F267" s="10">
        <v>53260</v>
      </c>
      <c r="G267" s="10">
        <v>2663</v>
      </c>
      <c r="H267" s="10">
        <v>50597</v>
      </c>
      <c r="I267" s="11">
        <v>26630</v>
      </c>
      <c r="J267" s="12">
        <v>41651</v>
      </c>
    </row>
    <row r="268" spans="1:10" ht="12.75" x14ac:dyDescent="0.2">
      <c r="A268" s="7" t="s">
        <v>105</v>
      </c>
      <c r="B268" s="7" t="s">
        <v>124</v>
      </c>
      <c r="C268" s="8">
        <v>570</v>
      </c>
      <c r="D268" s="9">
        <v>250</v>
      </c>
      <c r="E268" s="8">
        <v>7</v>
      </c>
      <c r="F268" s="10">
        <v>3990</v>
      </c>
      <c r="G268" s="10">
        <v>199.5</v>
      </c>
      <c r="H268" s="10">
        <v>3790.5</v>
      </c>
      <c r="I268" s="11">
        <v>2850</v>
      </c>
      <c r="J268" s="12">
        <v>41651</v>
      </c>
    </row>
    <row r="269" spans="1:10" ht="12.75" x14ac:dyDescent="0.2">
      <c r="A269" s="7" t="s">
        <v>47</v>
      </c>
      <c r="B269" s="7" t="s">
        <v>124</v>
      </c>
      <c r="C269" s="8">
        <v>2487</v>
      </c>
      <c r="D269" s="9">
        <v>250</v>
      </c>
      <c r="E269" s="8">
        <v>7</v>
      </c>
      <c r="F269" s="10">
        <v>17409</v>
      </c>
      <c r="G269" s="10">
        <v>870.45</v>
      </c>
      <c r="H269" s="10">
        <v>16538.55</v>
      </c>
      <c r="I269" s="11">
        <v>12435</v>
      </c>
      <c r="J269" s="12">
        <v>41651</v>
      </c>
    </row>
    <row r="270" spans="1:10" ht="12.75" x14ac:dyDescent="0.2">
      <c r="A270" s="7" t="s">
        <v>53</v>
      </c>
      <c r="B270" s="7" t="s">
        <v>124</v>
      </c>
      <c r="C270" s="8">
        <v>1350</v>
      </c>
      <c r="D270" s="9">
        <v>260</v>
      </c>
      <c r="E270" s="8">
        <v>350</v>
      </c>
      <c r="F270" s="10">
        <v>472500</v>
      </c>
      <c r="G270" s="10">
        <v>23625</v>
      </c>
      <c r="H270" s="10">
        <v>448875</v>
      </c>
      <c r="I270" s="11">
        <v>351000</v>
      </c>
      <c r="J270" s="12">
        <v>41641</v>
      </c>
    </row>
    <row r="271" spans="1:10" ht="12.75" x14ac:dyDescent="0.2">
      <c r="A271" s="7" t="s">
        <v>123</v>
      </c>
      <c r="B271" s="7" t="s">
        <v>124</v>
      </c>
      <c r="C271" s="8">
        <v>552</v>
      </c>
      <c r="D271" s="9">
        <v>260</v>
      </c>
      <c r="E271" s="8">
        <v>350</v>
      </c>
      <c r="F271" s="10">
        <v>193200</v>
      </c>
      <c r="G271" s="10">
        <v>9660</v>
      </c>
      <c r="H271" s="10">
        <v>183540</v>
      </c>
      <c r="I271" s="11">
        <v>143520</v>
      </c>
      <c r="J271" s="12">
        <v>41647</v>
      </c>
    </row>
    <row r="272" spans="1:10" ht="12.75" x14ac:dyDescent="0.2">
      <c r="A272" s="7" t="s">
        <v>123</v>
      </c>
      <c r="B272" s="7" t="s">
        <v>124</v>
      </c>
      <c r="C272" s="8">
        <v>1228</v>
      </c>
      <c r="D272" s="9">
        <v>260</v>
      </c>
      <c r="E272" s="8">
        <v>350</v>
      </c>
      <c r="F272" s="10">
        <v>429800</v>
      </c>
      <c r="G272" s="10">
        <v>21490</v>
      </c>
      <c r="H272" s="10">
        <v>408310</v>
      </c>
      <c r="I272" s="11">
        <v>319280</v>
      </c>
      <c r="J272" s="12">
        <v>41284</v>
      </c>
    </row>
    <row r="273" spans="1:10" ht="12.75" x14ac:dyDescent="0.2">
      <c r="A273" s="7" t="s">
        <v>106</v>
      </c>
      <c r="B273" s="7" t="s">
        <v>124</v>
      </c>
      <c r="C273" s="8">
        <v>1250</v>
      </c>
      <c r="D273" s="9">
        <v>260</v>
      </c>
      <c r="E273" s="8">
        <v>300</v>
      </c>
      <c r="F273" s="10">
        <v>375000</v>
      </c>
      <c r="G273" s="10">
        <v>18750</v>
      </c>
      <c r="H273" s="10">
        <v>356250</v>
      </c>
      <c r="I273" s="11">
        <v>312500</v>
      </c>
      <c r="J273" s="12">
        <v>41651</v>
      </c>
    </row>
    <row r="274" spans="1:10" ht="12.75" x14ac:dyDescent="0.2">
      <c r="A274" s="7" t="s">
        <v>32</v>
      </c>
      <c r="B274" s="7" t="s">
        <v>124</v>
      </c>
      <c r="C274" s="8">
        <v>3801</v>
      </c>
      <c r="D274" s="9">
        <v>10</v>
      </c>
      <c r="E274" s="8">
        <v>15</v>
      </c>
      <c r="F274" s="10">
        <v>57015</v>
      </c>
      <c r="G274" s="10">
        <v>3420.9</v>
      </c>
      <c r="H274" s="10">
        <v>53594.1</v>
      </c>
      <c r="I274" s="11">
        <v>38010</v>
      </c>
      <c r="J274" s="12">
        <v>41643</v>
      </c>
    </row>
    <row r="275" spans="1:10" ht="12.75" x14ac:dyDescent="0.2">
      <c r="A275" s="7" t="s">
        <v>61</v>
      </c>
      <c r="B275" s="7" t="s">
        <v>124</v>
      </c>
      <c r="C275" s="8">
        <v>1117.5</v>
      </c>
      <c r="D275" s="9">
        <v>3</v>
      </c>
      <c r="E275" s="8">
        <v>20</v>
      </c>
      <c r="F275" s="10">
        <v>22350</v>
      </c>
      <c r="G275" s="10">
        <v>1341</v>
      </c>
      <c r="H275" s="10">
        <v>21009</v>
      </c>
      <c r="I275" s="11">
        <v>11175</v>
      </c>
      <c r="J275" s="12">
        <v>41640</v>
      </c>
    </row>
    <row r="276" spans="1:10" ht="12.75" x14ac:dyDescent="0.2">
      <c r="A276" s="7" t="s">
        <v>132</v>
      </c>
      <c r="B276" s="7" t="s">
        <v>124</v>
      </c>
      <c r="C276" s="8">
        <v>2844</v>
      </c>
      <c r="D276" s="9">
        <v>3</v>
      </c>
      <c r="E276" s="8">
        <v>15</v>
      </c>
      <c r="F276" s="10">
        <v>42660</v>
      </c>
      <c r="G276" s="10">
        <v>2559.6</v>
      </c>
      <c r="H276" s="10">
        <v>40100.400000000001</v>
      </c>
      <c r="I276" s="11">
        <v>28440</v>
      </c>
      <c r="J276" s="12">
        <v>41645</v>
      </c>
    </row>
    <row r="277" spans="1:10" ht="12.75" x14ac:dyDescent="0.2">
      <c r="A277" s="7" t="s">
        <v>133</v>
      </c>
      <c r="B277" s="7" t="s">
        <v>124</v>
      </c>
      <c r="C277" s="8">
        <v>562</v>
      </c>
      <c r="D277" s="9">
        <v>3</v>
      </c>
      <c r="E277" s="8">
        <v>12</v>
      </c>
      <c r="F277" s="10">
        <v>6744</v>
      </c>
      <c r="G277" s="10">
        <v>404.64</v>
      </c>
      <c r="H277" s="10">
        <v>6339.36</v>
      </c>
      <c r="I277" s="11">
        <v>1686</v>
      </c>
      <c r="J277" s="12">
        <v>41648</v>
      </c>
    </row>
    <row r="278" spans="1:10" ht="12.75" x14ac:dyDescent="0.2">
      <c r="A278" s="7" t="s">
        <v>62</v>
      </c>
      <c r="B278" s="7" t="s">
        <v>124</v>
      </c>
      <c r="C278" s="8">
        <v>2299</v>
      </c>
      <c r="D278" s="9">
        <v>3</v>
      </c>
      <c r="E278" s="8">
        <v>12</v>
      </c>
      <c r="F278" s="10">
        <v>27588</v>
      </c>
      <c r="G278" s="10">
        <v>1655.28</v>
      </c>
      <c r="H278" s="10">
        <v>25932.720000000001</v>
      </c>
      <c r="I278" s="11">
        <v>6897</v>
      </c>
      <c r="J278" s="12">
        <v>41284</v>
      </c>
    </row>
    <row r="279" spans="1:10" ht="12.75" x14ac:dyDescent="0.2">
      <c r="A279" s="7" t="s">
        <v>134</v>
      </c>
      <c r="B279" s="7" t="s">
        <v>124</v>
      </c>
      <c r="C279" s="8">
        <v>2030</v>
      </c>
      <c r="D279" s="9">
        <v>3</v>
      </c>
      <c r="E279" s="8">
        <v>15</v>
      </c>
      <c r="F279" s="10">
        <v>30450</v>
      </c>
      <c r="G279" s="10">
        <v>1827</v>
      </c>
      <c r="H279" s="10">
        <v>28623</v>
      </c>
      <c r="I279" s="11">
        <v>20300</v>
      </c>
      <c r="J279" s="12">
        <v>41650</v>
      </c>
    </row>
    <row r="280" spans="1:10" ht="12.75" x14ac:dyDescent="0.2">
      <c r="A280" s="7" t="s">
        <v>61</v>
      </c>
      <c r="B280" s="7" t="s">
        <v>124</v>
      </c>
      <c r="C280" s="8">
        <v>263</v>
      </c>
      <c r="D280" s="9">
        <v>3</v>
      </c>
      <c r="E280" s="8">
        <v>7</v>
      </c>
      <c r="F280" s="10">
        <v>1841</v>
      </c>
      <c r="G280" s="10">
        <v>110.46</v>
      </c>
      <c r="H280" s="10">
        <v>1730.54</v>
      </c>
      <c r="I280" s="11">
        <v>1315</v>
      </c>
      <c r="J280" s="12">
        <v>41285</v>
      </c>
    </row>
    <row r="281" spans="1:10" ht="12.75" x14ac:dyDescent="0.2">
      <c r="A281" s="7" t="s">
        <v>135</v>
      </c>
      <c r="B281" s="7" t="s">
        <v>124</v>
      </c>
      <c r="C281" s="8">
        <v>887</v>
      </c>
      <c r="D281" s="9">
        <v>3</v>
      </c>
      <c r="E281" s="8">
        <v>125</v>
      </c>
      <c r="F281" s="10">
        <v>110875</v>
      </c>
      <c r="G281" s="10">
        <v>6652.5</v>
      </c>
      <c r="H281" s="10">
        <v>104222.5</v>
      </c>
      <c r="I281" s="11">
        <v>106440</v>
      </c>
      <c r="J281" s="12">
        <v>41286</v>
      </c>
    </row>
    <row r="282" spans="1:10" ht="12.75" x14ac:dyDescent="0.2">
      <c r="A282" s="7" t="s">
        <v>128</v>
      </c>
      <c r="B282" s="7" t="s">
        <v>124</v>
      </c>
      <c r="C282" s="8">
        <v>980</v>
      </c>
      <c r="D282" s="9">
        <v>5</v>
      </c>
      <c r="E282" s="8">
        <v>350</v>
      </c>
      <c r="F282" s="10">
        <v>343000</v>
      </c>
      <c r="G282" s="10">
        <v>20580</v>
      </c>
      <c r="H282" s="10">
        <v>322420</v>
      </c>
      <c r="I282" s="11">
        <v>254800</v>
      </c>
      <c r="J282" s="12">
        <v>41643</v>
      </c>
    </row>
    <row r="283" spans="1:10" ht="12.75" x14ac:dyDescent="0.2">
      <c r="A283" s="7" t="s">
        <v>24</v>
      </c>
      <c r="B283" s="7" t="s">
        <v>124</v>
      </c>
      <c r="C283" s="8">
        <v>1460</v>
      </c>
      <c r="D283" s="9">
        <v>5</v>
      </c>
      <c r="E283" s="8">
        <v>350</v>
      </c>
      <c r="F283" s="10">
        <v>511000</v>
      </c>
      <c r="G283" s="10">
        <v>30660</v>
      </c>
      <c r="H283" s="10">
        <v>480340</v>
      </c>
      <c r="I283" s="11">
        <v>379600</v>
      </c>
      <c r="J283" s="12">
        <v>41644</v>
      </c>
    </row>
    <row r="284" spans="1:10" ht="12.75" x14ac:dyDescent="0.2">
      <c r="A284" s="7" t="s">
        <v>19</v>
      </c>
      <c r="B284" s="7" t="s">
        <v>124</v>
      </c>
      <c r="C284" s="8">
        <v>1403</v>
      </c>
      <c r="D284" s="9">
        <v>5</v>
      </c>
      <c r="E284" s="8">
        <v>7</v>
      </c>
      <c r="F284" s="10">
        <v>9821</v>
      </c>
      <c r="G284" s="10">
        <v>589.26</v>
      </c>
      <c r="H284" s="10">
        <v>9231.74</v>
      </c>
      <c r="I284" s="11">
        <v>7015</v>
      </c>
      <c r="J284" s="12">
        <v>41284</v>
      </c>
    </row>
    <row r="285" spans="1:10" ht="12.75" x14ac:dyDescent="0.2">
      <c r="A285" s="7" t="s">
        <v>87</v>
      </c>
      <c r="B285" s="7" t="s">
        <v>124</v>
      </c>
      <c r="C285" s="8">
        <v>2723</v>
      </c>
      <c r="D285" s="9">
        <v>5</v>
      </c>
      <c r="E285" s="8">
        <v>12</v>
      </c>
      <c r="F285" s="10">
        <v>32676</v>
      </c>
      <c r="G285" s="10">
        <v>1960.56</v>
      </c>
      <c r="H285" s="10">
        <v>30715.439999999999</v>
      </c>
      <c r="I285" s="11">
        <v>8169</v>
      </c>
      <c r="J285" s="12">
        <v>41650</v>
      </c>
    </row>
    <row r="286" spans="1:10" ht="12.75" x14ac:dyDescent="0.2">
      <c r="A286" s="7" t="s">
        <v>56</v>
      </c>
      <c r="B286" s="7" t="s">
        <v>124</v>
      </c>
      <c r="C286" s="8">
        <v>1496</v>
      </c>
      <c r="D286" s="9">
        <v>10</v>
      </c>
      <c r="E286" s="8">
        <v>350</v>
      </c>
      <c r="F286" s="10">
        <v>523600</v>
      </c>
      <c r="G286" s="10">
        <v>31416</v>
      </c>
      <c r="H286" s="10">
        <v>492184</v>
      </c>
      <c r="I286" s="11">
        <v>388960</v>
      </c>
      <c r="J286" s="12">
        <v>41645</v>
      </c>
    </row>
    <row r="287" spans="1:10" ht="12.75" x14ac:dyDescent="0.2">
      <c r="A287" s="7" t="s">
        <v>28</v>
      </c>
      <c r="B287" s="7" t="s">
        <v>124</v>
      </c>
      <c r="C287" s="8">
        <v>2299</v>
      </c>
      <c r="D287" s="9">
        <v>10</v>
      </c>
      <c r="E287" s="8">
        <v>12</v>
      </c>
      <c r="F287" s="10">
        <v>27588</v>
      </c>
      <c r="G287" s="10">
        <v>1655.28</v>
      </c>
      <c r="H287" s="10">
        <v>25932.720000000001</v>
      </c>
      <c r="I287" s="11">
        <v>6897</v>
      </c>
      <c r="J287" s="12">
        <v>41284</v>
      </c>
    </row>
    <row r="288" spans="1:10" ht="12.75" x14ac:dyDescent="0.2">
      <c r="A288" s="7" t="s">
        <v>34</v>
      </c>
      <c r="B288" s="7" t="s">
        <v>124</v>
      </c>
      <c r="C288" s="8">
        <v>727</v>
      </c>
      <c r="D288" s="9">
        <v>10</v>
      </c>
      <c r="E288" s="8">
        <v>350</v>
      </c>
      <c r="F288" s="10">
        <v>254450</v>
      </c>
      <c r="G288" s="10">
        <v>15267</v>
      </c>
      <c r="H288" s="10">
        <v>239183</v>
      </c>
      <c r="I288" s="11">
        <v>189020</v>
      </c>
      <c r="J288" s="12">
        <v>41284</v>
      </c>
    </row>
    <row r="289" spans="1:10" ht="12.75" x14ac:dyDescent="0.2">
      <c r="A289" s="7" t="s">
        <v>42</v>
      </c>
      <c r="B289" s="7" t="s">
        <v>124</v>
      </c>
      <c r="C289" s="8">
        <v>952</v>
      </c>
      <c r="D289" s="9">
        <v>120</v>
      </c>
      <c r="E289" s="8">
        <v>125</v>
      </c>
      <c r="F289" s="10">
        <v>119000</v>
      </c>
      <c r="G289" s="10">
        <v>7140</v>
      </c>
      <c r="H289" s="10">
        <v>111860</v>
      </c>
      <c r="I289" s="11">
        <v>114240</v>
      </c>
      <c r="J289" s="12">
        <v>41641</v>
      </c>
    </row>
    <row r="290" spans="1:10" ht="12.75" x14ac:dyDescent="0.2">
      <c r="A290" s="7" t="s">
        <v>41</v>
      </c>
      <c r="B290" s="7" t="s">
        <v>124</v>
      </c>
      <c r="C290" s="8">
        <v>2755</v>
      </c>
      <c r="D290" s="9">
        <v>120</v>
      </c>
      <c r="E290" s="8">
        <v>125</v>
      </c>
      <c r="F290" s="10">
        <v>344375</v>
      </c>
      <c r="G290" s="10">
        <v>20662.5</v>
      </c>
      <c r="H290" s="10">
        <v>323712.5</v>
      </c>
      <c r="I290" s="11">
        <v>330600</v>
      </c>
      <c r="J290" s="12">
        <v>41641</v>
      </c>
    </row>
    <row r="291" spans="1:10" ht="12.75" x14ac:dyDescent="0.2">
      <c r="A291" s="7" t="s">
        <v>136</v>
      </c>
      <c r="B291" s="7" t="s">
        <v>124</v>
      </c>
      <c r="C291" s="8">
        <v>1530</v>
      </c>
      <c r="D291" s="9">
        <v>120</v>
      </c>
      <c r="E291" s="8">
        <v>15</v>
      </c>
      <c r="F291" s="10">
        <v>22950</v>
      </c>
      <c r="G291" s="10">
        <v>1377</v>
      </c>
      <c r="H291" s="10">
        <v>21573</v>
      </c>
      <c r="I291" s="11">
        <v>15300</v>
      </c>
      <c r="J291" s="12">
        <v>41644</v>
      </c>
    </row>
    <row r="292" spans="1:10" ht="12.75" x14ac:dyDescent="0.2">
      <c r="A292" s="7" t="s">
        <v>58</v>
      </c>
      <c r="B292" s="7" t="s">
        <v>124</v>
      </c>
      <c r="C292" s="8">
        <v>1496</v>
      </c>
      <c r="D292" s="9">
        <v>120</v>
      </c>
      <c r="E292" s="8">
        <v>350</v>
      </c>
      <c r="F292" s="10">
        <v>523600</v>
      </c>
      <c r="G292" s="10">
        <v>31416</v>
      </c>
      <c r="H292" s="10">
        <v>492184</v>
      </c>
      <c r="I292" s="11">
        <v>388960</v>
      </c>
      <c r="J292" s="12">
        <v>41645</v>
      </c>
    </row>
    <row r="293" spans="1:10" ht="12.75" x14ac:dyDescent="0.2">
      <c r="A293" s="7" t="s">
        <v>37</v>
      </c>
      <c r="B293" s="7" t="s">
        <v>124</v>
      </c>
      <c r="C293" s="8">
        <v>1498</v>
      </c>
      <c r="D293" s="9">
        <v>120</v>
      </c>
      <c r="E293" s="8">
        <v>7</v>
      </c>
      <c r="F293" s="10">
        <v>10486</v>
      </c>
      <c r="G293" s="10">
        <v>629.16</v>
      </c>
      <c r="H293" s="10">
        <v>9856.84</v>
      </c>
      <c r="I293" s="11">
        <v>7490</v>
      </c>
      <c r="J293" s="12">
        <v>41645</v>
      </c>
    </row>
    <row r="294" spans="1:10" ht="12.75" x14ac:dyDescent="0.2">
      <c r="A294" s="7" t="s">
        <v>137</v>
      </c>
      <c r="B294" s="7" t="s">
        <v>124</v>
      </c>
      <c r="C294" s="8">
        <v>1221</v>
      </c>
      <c r="D294" s="9">
        <v>120</v>
      </c>
      <c r="E294" s="8">
        <v>300</v>
      </c>
      <c r="F294" s="10">
        <v>366300</v>
      </c>
      <c r="G294" s="10">
        <v>21978</v>
      </c>
      <c r="H294" s="10">
        <v>344322</v>
      </c>
      <c r="I294" s="11">
        <v>305250</v>
      </c>
      <c r="J294" s="12">
        <v>41284</v>
      </c>
    </row>
    <row r="295" spans="1:10" ht="12.75" x14ac:dyDescent="0.2">
      <c r="A295" s="7" t="s">
        <v>58</v>
      </c>
      <c r="B295" s="7" t="s">
        <v>124</v>
      </c>
      <c r="C295" s="8">
        <v>2076</v>
      </c>
      <c r="D295" s="9">
        <v>120</v>
      </c>
      <c r="E295" s="8">
        <v>350</v>
      </c>
      <c r="F295" s="10">
        <v>726600</v>
      </c>
      <c r="G295" s="10">
        <v>43596</v>
      </c>
      <c r="H295" s="10">
        <v>683004</v>
      </c>
      <c r="I295" s="11">
        <v>539760</v>
      </c>
      <c r="J295" s="12">
        <v>41284</v>
      </c>
    </row>
    <row r="296" spans="1:10" ht="12.75" x14ac:dyDescent="0.2">
      <c r="A296" s="7" t="s">
        <v>138</v>
      </c>
      <c r="B296" s="7" t="s">
        <v>124</v>
      </c>
      <c r="C296" s="8">
        <v>2844</v>
      </c>
      <c r="D296" s="9">
        <v>250</v>
      </c>
      <c r="E296" s="8">
        <v>15</v>
      </c>
      <c r="F296" s="10">
        <v>42660</v>
      </c>
      <c r="G296" s="10">
        <v>2559.6</v>
      </c>
      <c r="H296" s="10">
        <v>40100.400000000001</v>
      </c>
      <c r="I296" s="11">
        <v>28440</v>
      </c>
      <c r="J296" s="12">
        <v>41645</v>
      </c>
    </row>
    <row r="297" spans="1:10" ht="12.75" x14ac:dyDescent="0.2">
      <c r="A297" s="7" t="s">
        <v>83</v>
      </c>
      <c r="B297" s="7" t="s">
        <v>124</v>
      </c>
      <c r="C297" s="8">
        <v>1498</v>
      </c>
      <c r="D297" s="9">
        <v>250</v>
      </c>
      <c r="E297" s="8">
        <v>7</v>
      </c>
      <c r="F297" s="10">
        <v>10486</v>
      </c>
      <c r="G297" s="10">
        <v>629.16</v>
      </c>
      <c r="H297" s="10">
        <v>9856.84</v>
      </c>
      <c r="I297" s="11">
        <v>7490</v>
      </c>
      <c r="J297" s="12">
        <v>41645</v>
      </c>
    </row>
    <row r="298" spans="1:10" ht="12.75" x14ac:dyDescent="0.2">
      <c r="A298" s="7" t="s">
        <v>48</v>
      </c>
      <c r="B298" s="7" t="s">
        <v>124</v>
      </c>
      <c r="C298" s="8">
        <v>1221</v>
      </c>
      <c r="D298" s="9">
        <v>250</v>
      </c>
      <c r="E298" s="8">
        <v>300</v>
      </c>
      <c r="F298" s="10">
        <v>366300</v>
      </c>
      <c r="G298" s="10">
        <v>21978</v>
      </c>
      <c r="H298" s="10">
        <v>344322</v>
      </c>
      <c r="I298" s="11">
        <v>305250</v>
      </c>
      <c r="J298" s="12">
        <v>41284</v>
      </c>
    </row>
    <row r="299" spans="1:10" ht="12.75" x14ac:dyDescent="0.2">
      <c r="A299" s="7" t="s">
        <v>83</v>
      </c>
      <c r="B299" s="7" t="s">
        <v>124</v>
      </c>
      <c r="C299" s="8">
        <v>1123</v>
      </c>
      <c r="D299" s="9">
        <v>250</v>
      </c>
      <c r="E299" s="8">
        <v>20</v>
      </c>
      <c r="F299" s="10">
        <v>22460</v>
      </c>
      <c r="G299" s="10">
        <v>1347.6</v>
      </c>
      <c r="H299" s="10">
        <v>21112.400000000001</v>
      </c>
      <c r="I299" s="11">
        <v>11230</v>
      </c>
      <c r="J299" s="12">
        <v>41285</v>
      </c>
    </row>
    <row r="300" spans="1:10" ht="12.75" x14ac:dyDescent="0.2">
      <c r="A300" s="7" t="s">
        <v>43</v>
      </c>
      <c r="B300" s="7" t="s">
        <v>124</v>
      </c>
      <c r="C300" s="8">
        <v>2436</v>
      </c>
      <c r="D300" s="9">
        <v>250</v>
      </c>
      <c r="E300" s="8">
        <v>300</v>
      </c>
      <c r="F300" s="10">
        <v>730800</v>
      </c>
      <c r="G300" s="10">
        <v>43848</v>
      </c>
      <c r="H300" s="10">
        <v>686952</v>
      </c>
      <c r="I300" s="11">
        <v>609000</v>
      </c>
      <c r="J300" s="12">
        <v>41286</v>
      </c>
    </row>
    <row r="301" spans="1:10" ht="12.75" x14ac:dyDescent="0.2">
      <c r="A301" s="7" t="s">
        <v>139</v>
      </c>
      <c r="B301" s="7" t="s">
        <v>124</v>
      </c>
      <c r="C301" s="8">
        <v>1987.5</v>
      </c>
      <c r="D301" s="9">
        <v>260</v>
      </c>
      <c r="E301" s="8">
        <v>125</v>
      </c>
      <c r="F301" s="10">
        <v>248437.5</v>
      </c>
      <c r="G301" s="10">
        <v>14906.25</v>
      </c>
      <c r="H301" s="10">
        <v>233531.25</v>
      </c>
      <c r="I301" s="11">
        <v>238500</v>
      </c>
      <c r="J301" s="12">
        <v>41640</v>
      </c>
    </row>
    <row r="302" spans="1:10" ht="12.75" x14ac:dyDescent="0.2">
      <c r="A302" s="7" t="s">
        <v>121</v>
      </c>
      <c r="B302" s="7" t="s">
        <v>124</v>
      </c>
      <c r="C302" s="8">
        <v>1679</v>
      </c>
      <c r="D302" s="9">
        <v>260</v>
      </c>
      <c r="E302" s="8">
        <v>350</v>
      </c>
      <c r="F302" s="10">
        <v>587650</v>
      </c>
      <c r="G302" s="10">
        <v>35259</v>
      </c>
      <c r="H302" s="10">
        <v>552391</v>
      </c>
      <c r="I302" s="11">
        <v>436540</v>
      </c>
      <c r="J302" s="12">
        <v>41648</v>
      </c>
    </row>
    <row r="303" spans="1:10" ht="12.75" x14ac:dyDescent="0.2">
      <c r="A303" s="7" t="s">
        <v>54</v>
      </c>
      <c r="B303" s="7" t="s">
        <v>124</v>
      </c>
      <c r="C303" s="8">
        <v>727</v>
      </c>
      <c r="D303" s="9">
        <v>260</v>
      </c>
      <c r="E303" s="8">
        <v>350</v>
      </c>
      <c r="F303" s="10">
        <v>254450</v>
      </c>
      <c r="G303" s="10">
        <v>15267</v>
      </c>
      <c r="H303" s="10">
        <v>239183</v>
      </c>
      <c r="I303" s="11">
        <v>189020</v>
      </c>
      <c r="J303" s="12">
        <v>41284</v>
      </c>
    </row>
    <row r="304" spans="1:10" ht="12.75" x14ac:dyDescent="0.2">
      <c r="A304" s="7" t="s">
        <v>50</v>
      </c>
      <c r="B304" s="7" t="s">
        <v>124</v>
      </c>
      <c r="C304" s="8">
        <v>1403</v>
      </c>
      <c r="D304" s="9">
        <v>260</v>
      </c>
      <c r="E304" s="8">
        <v>7</v>
      </c>
      <c r="F304" s="10">
        <v>9821</v>
      </c>
      <c r="G304" s="10">
        <v>589.26</v>
      </c>
      <c r="H304" s="10">
        <v>9231.74</v>
      </c>
      <c r="I304" s="11">
        <v>7015</v>
      </c>
      <c r="J304" s="12">
        <v>41284</v>
      </c>
    </row>
    <row r="305" spans="1:10" ht="12.75" x14ac:dyDescent="0.2">
      <c r="A305" s="7" t="s">
        <v>50</v>
      </c>
      <c r="B305" s="7" t="s">
        <v>124</v>
      </c>
      <c r="C305" s="8">
        <v>2076</v>
      </c>
      <c r="D305" s="9">
        <v>260</v>
      </c>
      <c r="E305" s="8">
        <v>350</v>
      </c>
      <c r="F305" s="10">
        <v>726600</v>
      </c>
      <c r="G305" s="10">
        <v>43596</v>
      </c>
      <c r="H305" s="10">
        <v>683004</v>
      </c>
      <c r="I305" s="11">
        <v>539760</v>
      </c>
      <c r="J305" s="12">
        <v>41284</v>
      </c>
    </row>
    <row r="306" spans="1:10" ht="12.75" x14ac:dyDescent="0.2">
      <c r="A306" s="7" t="s">
        <v>19</v>
      </c>
      <c r="B306" s="7" t="s">
        <v>124</v>
      </c>
      <c r="C306" s="8">
        <v>1757</v>
      </c>
      <c r="D306" s="9">
        <v>5</v>
      </c>
      <c r="E306" s="8">
        <v>20</v>
      </c>
      <c r="F306" s="10">
        <v>35140</v>
      </c>
      <c r="G306" s="10">
        <v>2108.4</v>
      </c>
      <c r="H306" s="10">
        <v>33031.599999999999</v>
      </c>
      <c r="I306" s="11">
        <v>17570</v>
      </c>
      <c r="J306" s="12">
        <v>41284</v>
      </c>
    </row>
    <row r="307" spans="1:10" ht="12.75" x14ac:dyDescent="0.2">
      <c r="A307" s="7" t="s">
        <v>71</v>
      </c>
      <c r="B307" s="7" t="s">
        <v>124</v>
      </c>
      <c r="C307" s="8">
        <v>2198</v>
      </c>
      <c r="D307" s="9">
        <v>10</v>
      </c>
      <c r="E307" s="8">
        <v>15</v>
      </c>
      <c r="F307" s="10">
        <v>32970</v>
      </c>
      <c r="G307" s="10">
        <v>1978.2</v>
      </c>
      <c r="H307" s="10">
        <v>30991.8</v>
      </c>
      <c r="I307" s="11">
        <v>21980</v>
      </c>
      <c r="J307" s="12">
        <v>41647</v>
      </c>
    </row>
    <row r="308" spans="1:10" ht="12.75" x14ac:dyDescent="0.2">
      <c r="A308" s="7" t="s">
        <v>75</v>
      </c>
      <c r="B308" s="7" t="s">
        <v>124</v>
      </c>
      <c r="C308" s="8">
        <v>1743</v>
      </c>
      <c r="D308" s="9">
        <v>10</v>
      </c>
      <c r="E308" s="8">
        <v>15</v>
      </c>
      <c r="F308" s="10">
        <v>26145</v>
      </c>
      <c r="G308" s="10">
        <v>1568.7</v>
      </c>
      <c r="H308" s="10">
        <v>24576.3</v>
      </c>
      <c r="I308" s="11">
        <v>17430</v>
      </c>
      <c r="J308" s="12">
        <v>41647</v>
      </c>
    </row>
    <row r="309" spans="1:10" ht="12.75" x14ac:dyDescent="0.2">
      <c r="A309" s="7" t="s">
        <v>71</v>
      </c>
      <c r="B309" s="7" t="s">
        <v>124</v>
      </c>
      <c r="C309" s="8">
        <v>1153</v>
      </c>
      <c r="D309" s="9">
        <v>10</v>
      </c>
      <c r="E309" s="8">
        <v>15</v>
      </c>
      <c r="F309" s="10">
        <v>17295</v>
      </c>
      <c r="G309" s="10">
        <v>1037.7</v>
      </c>
      <c r="H309" s="10">
        <v>16257.3</v>
      </c>
      <c r="I309" s="11">
        <v>11530</v>
      </c>
      <c r="J309" s="12">
        <v>41649</v>
      </c>
    </row>
    <row r="310" spans="1:10" ht="12.75" x14ac:dyDescent="0.2">
      <c r="A310" s="7" t="s">
        <v>56</v>
      </c>
      <c r="B310" s="7" t="s">
        <v>124</v>
      </c>
      <c r="C310" s="8">
        <v>1757</v>
      </c>
      <c r="D310" s="9">
        <v>10</v>
      </c>
      <c r="E310" s="8">
        <v>20</v>
      </c>
      <c r="F310" s="10">
        <v>35140</v>
      </c>
      <c r="G310" s="10">
        <v>2108.4</v>
      </c>
      <c r="H310" s="10">
        <v>33031.599999999999</v>
      </c>
      <c r="I310" s="11">
        <v>17570</v>
      </c>
      <c r="J310" s="12">
        <v>41284</v>
      </c>
    </row>
    <row r="311" spans="1:10" ht="12.75" x14ac:dyDescent="0.2">
      <c r="A311" s="7" t="s">
        <v>40</v>
      </c>
      <c r="B311" s="7" t="s">
        <v>124</v>
      </c>
      <c r="C311" s="8">
        <v>1001</v>
      </c>
      <c r="D311" s="9">
        <v>120</v>
      </c>
      <c r="E311" s="8">
        <v>20</v>
      </c>
      <c r="F311" s="10">
        <v>20020</v>
      </c>
      <c r="G311" s="10">
        <v>1201.2</v>
      </c>
      <c r="H311" s="10">
        <v>18818.8</v>
      </c>
      <c r="I311" s="11">
        <v>10010</v>
      </c>
      <c r="J311" s="12">
        <v>41647</v>
      </c>
    </row>
    <row r="312" spans="1:10" ht="12.75" x14ac:dyDescent="0.2">
      <c r="A312" s="7" t="s">
        <v>37</v>
      </c>
      <c r="B312" s="7" t="s">
        <v>124</v>
      </c>
      <c r="C312" s="8">
        <v>1333</v>
      </c>
      <c r="D312" s="9">
        <v>120</v>
      </c>
      <c r="E312" s="8">
        <v>7</v>
      </c>
      <c r="F312" s="10">
        <v>9331</v>
      </c>
      <c r="G312" s="10">
        <v>559.86</v>
      </c>
      <c r="H312" s="10">
        <v>8771.14</v>
      </c>
      <c r="I312" s="11">
        <v>6665</v>
      </c>
      <c r="J312" s="12">
        <v>41650</v>
      </c>
    </row>
    <row r="313" spans="1:10" ht="12.75" x14ac:dyDescent="0.2">
      <c r="A313" s="7" t="s">
        <v>140</v>
      </c>
      <c r="B313" s="7" t="s">
        <v>124</v>
      </c>
      <c r="C313" s="8">
        <v>1153</v>
      </c>
      <c r="D313" s="9">
        <v>250</v>
      </c>
      <c r="E313" s="8">
        <v>15</v>
      </c>
      <c r="F313" s="10">
        <v>17295</v>
      </c>
      <c r="G313" s="10">
        <v>1037.7</v>
      </c>
      <c r="H313" s="10">
        <v>16257.3</v>
      </c>
      <c r="I313" s="11">
        <v>11530</v>
      </c>
      <c r="J313" s="12">
        <v>41649</v>
      </c>
    </row>
    <row r="314" spans="1:10" ht="12.75" x14ac:dyDescent="0.2">
      <c r="A314" s="7" t="s">
        <v>133</v>
      </c>
      <c r="B314" s="7" t="s">
        <v>124</v>
      </c>
      <c r="C314" s="8">
        <v>727</v>
      </c>
      <c r="D314" s="9">
        <v>3</v>
      </c>
      <c r="E314" s="8">
        <v>12</v>
      </c>
      <c r="F314" s="10">
        <v>8724</v>
      </c>
      <c r="G314" s="10">
        <v>610.67999999999995</v>
      </c>
      <c r="H314" s="10">
        <v>8113.32</v>
      </c>
      <c r="I314" s="11">
        <v>2181</v>
      </c>
      <c r="J314" s="12">
        <v>41641</v>
      </c>
    </row>
    <row r="315" spans="1:10" ht="12.75" x14ac:dyDescent="0.2">
      <c r="A315" s="7" t="s">
        <v>62</v>
      </c>
      <c r="B315" s="7" t="s">
        <v>124</v>
      </c>
      <c r="C315" s="8">
        <v>1884</v>
      </c>
      <c r="D315" s="9">
        <v>3</v>
      </c>
      <c r="E315" s="8">
        <v>12</v>
      </c>
      <c r="F315" s="10">
        <v>22608</v>
      </c>
      <c r="G315" s="10">
        <v>1582.56</v>
      </c>
      <c r="H315" s="10">
        <v>21025.439999999999</v>
      </c>
      <c r="I315" s="11">
        <v>5652</v>
      </c>
      <c r="J315" s="12">
        <v>41647</v>
      </c>
    </row>
    <row r="316" spans="1:10" ht="12.75" x14ac:dyDescent="0.2">
      <c r="A316" s="7" t="s">
        <v>60</v>
      </c>
      <c r="B316" s="7" t="s">
        <v>124</v>
      </c>
      <c r="C316" s="8">
        <v>1834</v>
      </c>
      <c r="D316" s="9">
        <v>3</v>
      </c>
      <c r="E316" s="8">
        <v>20</v>
      </c>
      <c r="F316" s="10">
        <v>36680</v>
      </c>
      <c r="G316" s="10">
        <v>2567.6</v>
      </c>
      <c r="H316" s="10">
        <v>34112.400000000001</v>
      </c>
      <c r="I316" s="11">
        <v>18340</v>
      </c>
      <c r="J316" s="12">
        <v>41283</v>
      </c>
    </row>
    <row r="317" spans="1:10" ht="12.75" x14ac:dyDescent="0.2">
      <c r="A317" s="7" t="s">
        <v>89</v>
      </c>
      <c r="B317" s="7" t="s">
        <v>124</v>
      </c>
      <c r="C317" s="8">
        <v>2340</v>
      </c>
      <c r="D317" s="9">
        <v>5</v>
      </c>
      <c r="E317" s="8">
        <v>12</v>
      </c>
      <c r="F317" s="10">
        <v>28080</v>
      </c>
      <c r="G317" s="10">
        <v>1965.6</v>
      </c>
      <c r="H317" s="10">
        <v>26114.400000000001</v>
      </c>
      <c r="I317" s="11">
        <v>7020</v>
      </c>
      <c r="J317" s="12">
        <v>41640</v>
      </c>
    </row>
    <row r="318" spans="1:10" ht="12.75" x14ac:dyDescent="0.2">
      <c r="A318" s="7" t="s">
        <v>110</v>
      </c>
      <c r="B318" s="7" t="s">
        <v>124</v>
      </c>
      <c r="C318" s="8">
        <v>2342</v>
      </c>
      <c r="D318" s="9">
        <v>5</v>
      </c>
      <c r="E318" s="8">
        <v>12</v>
      </c>
      <c r="F318" s="10">
        <v>28104</v>
      </c>
      <c r="G318" s="10">
        <v>1967.28</v>
      </c>
      <c r="H318" s="10">
        <v>26136.720000000001</v>
      </c>
      <c r="I318" s="11">
        <v>7026</v>
      </c>
      <c r="J318" s="12">
        <v>41650</v>
      </c>
    </row>
    <row r="319" spans="1:10" ht="12.75" x14ac:dyDescent="0.2">
      <c r="A319" s="7" t="s">
        <v>56</v>
      </c>
      <c r="B319" s="7" t="s">
        <v>124</v>
      </c>
      <c r="C319" s="8">
        <v>1031</v>
      </c>
      <c r="D319" s="9">
        <v>10</v>
      </c>
      <c r="E319" s="8">
        <v>7</v>
      </c>
      <c r="F319" s="10">
        <v>7217</v>
      </c>
      <c r="G319" s="10">
        <v>505.19</v>
      </c>
      <c r="H319" s="10">
        <v>6711.81</v>
      </c>
      <c r="I319" s="11">
        <v>5155</v>
      </c>
      <c r="J319" s="12">
        <v>41283</v>
      </c>
    </row>
    <row r="320" spans="1:10" ht="12.75" x14ac:dyDescent="0.2">
      <c r="A320" s="7" t="s">
        <v>141</v>
      </c>
      <c r="B320" s="7" t="s">
        <v>124</v>
      </c>
      <c r="C320" s="8">
        <v>1262</v>
      </c>
      <c r="D320" s="9">
        <v>120</v>
      </c>
      <c r="E320" s="8">
        <v>15</v>
      </c>
      <c r="F320" s="10">
        <v>18930</v>
      </c>
      <c r="G320" s="10">
        <v>1325.1</v>
      </c>
      <c r="H320" s="10">
        <v>17604.900000000001</v>
      </c>
      <c r="I320" s="11">
        <v>12620</v>
      </c>
      <c r="J320" s="12">
        <v>41644</v>
      </c>
    </row>
    <row r="321" spans="1:10" ht="12.75" x14ac:dyDescent="0.2">
      <c r="A321" s="7" t="s">
        <v>77</v>
      </c>
      <c r="B321" s="7" t="s">
        <v>124</v>
      </c>
      <c r="C321" s="8">
        <v>1135</v>
      </c>
      <c r="D321" s="9">
        <v>120</v>
      </c>
      <c r="E321" s="8">
        <v>7</v>
      </c>
      <c r="F321" s="10">
        <v>7945</v>
      </c>
      <c r="G321" s="10">
        <v>556.15</v>
      </c>
      <c r="H321" s="10">
        <v>7388.85</v>
      </c>
      <c r="I321" s="11">
        <v>5675</v>
      </c>
      <c r="J321" s="12">
        <v>41645</v>
      </c>
    </row>
    <row r="322" spans="1:10" ht="12.75" x14ac:dyDescent="0.2">
      <c r="A322" s="7" t="s">
        <v>98</v>
      </c>
      <c r="B322" s="7" t="s">
        <v>124</v>
      </c>
      <c r="C322" s="8">
        <v>547</v>
      </c>
      <c r="D322" s="9">
        <v>120</v>
      </c>
      <c r="E322" s="8">
        <v>7</v>
      </c>
      <c r="F322" s="10">
        <v>3829</v>
      </c>
      <c r="G322" s="10">
        <v>268.02999999999997</v>
      </c>
      <c r="H322" s="10">
        <v>3560.97</v>
      </c>
      <c r="I322" s="11">
        <v>2735</v>
      </c>
      <c r="J322" s="12">
        <v>41650</v>
      </c>
    </row>
    <row r="323" spans="1:10" ht="12.75" x14ac:dyDescent="0.2">
      <c r="A323" s="7" t="s">
        <v>77</v>
      </c>
      <c r="B323" s="7" t="s">
        <v>124</v>
      </c>
      <c r="C323" s="8">
        <v>1582</v>
      </c>
      <c r="D323" s="9">
        <v>120</v>
      </c>
      <c r="E323" s="8">
        <v>7</v>
      </c>
      <c r="F323" s="10">
        <v>11074</v>
      </c>
      <c r="G323" s="10">
        <v>775.18</v>
      </c>
      <c r="H323" s="10">
        <v>10298.82</v>
      </c>
      <c r="I323" s="11">
        <v>7910</v>
      </c>
      <c r="J323" s="12">
        <v>41651</v>
      </c>
    </row>
    <row r="324" spans="1:10" ht="12.75" x14ac:dyDescent="0.2">
      <c r="A324" s="7" t="s">
        <v>119</v>
      </c>
      <c r="B324" s="7" t="s">
        <v>124</v>
      </c>
      <c r="C324" s="8">
        <v>1738.5</v>
      </c>
      <c r="D324" s="9">
        <v>250</v>
      </c>
      <c r="E324" s="8">
        <v>12</v>
      </c>
      <c r="F324" s="10">
        <v>20862</v>
      </c>
      <c r="G324" s="10">
        <v>1460.34</v>
      </c>
      <c r="H324" s="10">
        <v>19401.66</v>
      </c>
      <c r="I324" s="11">
        <v>5215.5</v>
      </c>
      <c r="J324" s="12">
        <v>41643</v>
      </c>
    </row>
    <row r="325" spans="1:10" ht="12.75" x14ac:dyDescent="0.2">
      <c r="A325" s="7" t="s">
        <v>44</v>
      </c>
      <c r="B325" s="7" t="s">
        <v>124</v>
      </c>
      <c r="C325" s="8">
        <v>2215</v>
      </c>
      <c r="D325" s="9">
        <v>250</v>
      </c>
      <c r="E325" s="8">
        <v>12</v>
      </c>
      <c r="F325" s="10">
        <v>26580</v>
      </c>
      <c r="G325" s="10">
        <v>1860.6</v>
      </c>
      <c r="H325" s="10">
        <v>24719.4</v>
      </c>
      <c r="I325" s="11">
        <v>6645</v>
      </c>
      <c r="J325" s="12">
        <v>41283</v>
      </c>
    </row>
    <row r="326" spans="1:10" ht="12.75" x14ac:dyDescent="0.2">
      <c r="A326" s="7" t="s">
        <v>49</v>
      </c>
      <c r="B326" s="7" t="s">
        <v>124</v>
      </c>
      <c r="C326" s="8">
        <v>1582</v>
      </c>
      <c r="D326" s="9">
        <v>250</v>
      </c>
      <c r="E326" s="8">
        <v>7</v>
      </c>
      <c r="F326" s="10">
        <v>11074</v>
      </c>
      <c r="G326" s="10">
        <v>775.18</v>
      </c>
      <c r="H326" s="10">
        <v>10298.82</v>
      </c>
      <c r="I326" s="11">
        <v>7910</v>
      </c>
      <c r="J326" s="12">
        <v>41651</v>
      </c>
    </row>
    <row r="327" spans="1:10" ht="12.75" x14ac:dyDescent="0.2">
      <c r="A327" s="7" t="s">
        <v>123</v>
      </c>
      <c r="B327" s="7" t="s">
        <v>124</v>
      </c>
      <c r="C327" s="8">
        <v>1135</v>
      </c>
      <c r="D327" s="9">
        <v>260</v>
      </c>
      <c r="E327" s="8">
        <v>7</v>
      </c>
      <c r="F327" s="10">
        <v>7945</v>
      </c>
      <c r="G327" s="10">
        <v>556.15</v>
      </c>
      <c r="H327" s="10">
        <v>7388.85</v>
      </c>
      <c r="I327" s="11">
        <v>5675</v>
      </c>
      <c r="J327" s="12">
        <v>41645</v>
      </c>
    </row>
    <row r="328" spans="1:10" ht="12.75" x14ac:dyDescent="0.2">
      <c r="A328" s="7" t="s">
        <v>61</v>
      </c>
      <c r="B328" s="7" t="s">
        <v>124</v>
      </c>
      <c r="C328" s="8">
        <v>1761</v>
      </c>
      <c r="D328" s="9">
        <v>3</v>
      </c>
      <c r="E328" s="8">
        <v>350</v>
      </c>
      <c r="F328" s="10">
        <v>616350</v>
      </c>
      <c r="G328" s="10">
        <v>43144.5</v>
      </c>
      <c r="H328" s="10">
        <v>573205.5</v>
      </c>
      <c r="I328" s="11">
        <v>457860</v>
      </c>
      <c r="J328" s="12">
        <v>41642</v>
      </c>
    </row>
    <row r="329" spans="1:10" ht="12.75" x14ac:dyDescent="0.2">
      <c r="A329" s="7" t="s">
        <v>142</v>
      </c>
      <c r="B329" s="7" t="s">
        <v>124</v>
      </c>
      <c r="C329" s="8">
        <v>448</v>
      </c>
      <c r="D329" s="9">
        <v>3</v>
      </c>
      <c r="E329" s="8">
        <v>300</v>
      </c>
      <c r="F329" s="10">
        <v>134400</v>
      </c>
      <c r="G329" s="10">
        <v>9408</v>
      </c>
      <c r="H329" s="10">
        <v>124992</v>
      </c>
      <c r="I329" s="11">
        <v>112000</v>
      </c>
      <c r="J329" s="12">
        <v>41645</v>
      </c>
    </row>
    <row r="330" spans="1:10" ht="12.75" x14ac:dyDescent="0.2">
      <c r="A330" s="7" t="s">
        <v>142</v>
      </c>
      <c r="B330" s="7" t="s">
        <v>124</v>
      </c>
      <c r="C330" s="8">
        <v>2181</v>
      </c>
      <c r="D330" s="9">
        <v>3</v>
      </c>
      <c r="E330" s="8">
        <v>300</v>
      </c>
      <c r="F330" s="10">
        <v>654300</v>
      </c>
      <c r="G330" s="10">
        <v>45801</v>
      </c>
      <c r="H330" s="10">
        <v>608499</v>
      </c>
      <c r="I330" s="11">
        <v>545250</v>
      </c>
      <c r="J330" s="12">
        <v>41649</v>
      </c>
    </row>
    <row r="331" spans="1:10" ht="12.75" x14ac:dyDescent="0.2">
      <c r="A331" s="7" t="s">
        <v>19</v>
      </c>
      <c r="B331" s="7" t="s">
        <v>124</v>
      </c>
      <c r="C331" s="8">
        <v>1976</v>
      </c>
      <c r="D331" s="9">
        <v>5</v>
      </c>
      <c r="E331" s="8">
        <v>20</v>
      </c>
      <c r="F331" s="10">
        <v>39520</v>
      </c>
      <c r="G331" s="10">
        <v>2766.4</v>
      </c>
      <c r="H331" s="10">
        <v>36753.599999999999</v>
      </c>
      <c r="I331" s="11">
        <v>19760</v>
      </c>
      <c r="J331" s="12">
        <v>41649</v>
      </c>
    </row>
    <row r="332" spans="1:10" ht="12.75" x14ac:dyDescent="0.2">
      <c r="A332" s="7" t="s">
        <v>143</v>
      </c>
      <c r="B332" s="7" t="s">
        <v>124</v>
      </c>
      <c r="C332" s="8">
        <v>2181</v>
      </c>
      <c r="D332" s="9">
        <v>5</v>
      </c>
      <c r="E332" s="8">
        <v>300</v>
      </c>
      <c r="F332" s="10">
        <v>654300</v>
      </c>
      <c r="G332" s="10">
        <v>45801</v>
      </c>
      <c r="H332" s="10">
        <v>608499</v>
      </c>
      <c r="I332" s="11">
        <v>545250</v>
      </c>
      <c r="J332" s="12">
        <v>41649</v>
      </c>
    </row>
    <row r="333" spans="1:10" ht="12.75" x14ac:dyDescent="0.2">
      <c r="A333" s="7" t="s">
        <v>112</v>
      </c>
      <c r="B333" s="7" t="s">
        <v>124</v>
      </c>
      <c r="C333" s="8">
        <v>2500</v>
      </c>
      <c r="D333" s="9">
        <v>5</v>
      </c>
      <c r="E333" s="8">
        <v>125</v>
      </c>
      <c r="F333" s="10">
        <v>312500</v>
      </c>
      <c r="G333" s="10">
        <v>21875</v>
      </c>
      <c r="H333" s="10">
        <v>290625</v>
      </c>
      <c r="I333" s="11">
        <v>300000</v>
      </c>
      <c r="J333" s="12">
        <v>41285</v>
      </c>
    </row>
    <row r="334" spans="1:10" ht="12.75" x14ac:dyDescent="0.2">
      <c r="A334" s="7" t="s">
        <v>95</v>
      </c>
      <c r="B334" s="7" t="s">
        <v>124</v>
      </c>
      <c r="C334" s="8">
        <v>1702</v>
      </c>
      <c r="D334" s="9">
        <v>10</v>
      </c>
      <c r="E334" s="8">
        <v>300</v>
      </c>
      <c r="F334" s="10">
        <v>510600</v>
      </c>
      <c r="G334" s="10">
        <v>35742</v>
      </c>
      <c r="H334" s="10">
        <v>474858</v>
      </c>
      <c r="I334" s="11">
        <v>425500</v>
      </c>
      <c r="J334" s="12">
        <v>41644</v>
      </c>
    </row>
    <row r="335" spans="1:10" ht="12.75" x14ac:dyDescent="0.2">
      <c r="A335" s="7" t="s">
        <v>91</v>
      </c>
      <c r="B335" s="7" t="s">
        <v>124</v>
      </c>
      <c r="C335" s="8">
        <v>448</v>
      </c>
      <c r="D335" s="9">
        <v>10</v>
      </c>
      <c r="E335" s="8">
        <v>300</v>
      </c>
      <c r="F335" s="10">
        <v>134400</v>
      </c>
      <c r="G335" s="10">
        <v>9408</v>
      </c>
      <c r="H335" s="10">
        <v>124992</v>
      </c>
      <c r="I335" s="11">
        <v>112000</v>
      </c>
      <c r="J335" s="12">
        <v>41645</v>
      </c>
    </row>
    <row r="336" spans="1:10" ht="12.75" x14ac:dyDescent="0.2">
      <c r="A336" s="7" t="s">
        <v>93</v>
      </c>
      <c r="B336" s="7" t="s">
        <v>124</v>
      </c>
      <c r="C336" s="8">
        <v>3513</v>
      </c>
      <c r="D336" s="9">
        <v>10</v>
      </c>
      <c r="E336" s="8">
        <v>125</v>
      </c>
      <c r="F336" s="10">
        <v>439125</v>
      </c>
      <c r="G336" s="10">
        <v>30738.75</v>
      </c>
      <c r="H336" s="10">
        <v>408386.25</v>
      </c>
      <c r="I336" s="11">
        <v>421560</v>
      </c>
      <c r="J336" s="12">
        <v>41646</v>
      </c>
    </row>
    <row r="337" spans="1:10" ht="12.75" x14ac:dyDescent="0.2">
      <c r="A337" s="7" t="s">
        <v>32</v>
      </c>
      <c r="B337" s="7" t="s">
        <v>124</v>
      </c>
      <c r="C337" s="8">
        <v>2101</v>
      </c>
      <c r="D337" s="9">
        <v>10</v>
      </c>
      <c r="E337" s="8">
        <v>15</v>
      </c>
      <c r="F337" s="10">
        <v>31515</v>
      </c>
      <c r="G337" s="10">
        <v>2206.0500000000002</v>
      </c>
      <c r="H337" s="10">
        <v>29308.95</v>
      </c>
      <c r="I337" s="11">
        <v>21010</v>
      </c>
      <c r="J337" s="12">
        <v>41647</v>
      </c>
    </row>
    <row r="338" spans="1:10" ht="12.75" x14ac:dyDescent="0.2">
      <c r="A338" s="7" t="s">
        <v>71</v>
      </c>
      <c r="B338" s="7" t="s">
        <v>124</v>
      </c>
      <c r="C338" s="8">
        <v>2931</v>
      </c>
      <c r="D338" s="9">
        <v>10</v>
      </c>
      <c r="E338" s="8">
        <v>15</v>
      </c>
      <c r="F338" s="10">
        <v>43965</v>
      </c>
      <c r="G338" s="10">
        <v>3077.55</v>
      </c>
      <c r="H338" s="10">
        <v>40887.449999999997</v>
      </c>
      <c r="I338" s="11">
        <v>29310</v>
      </c>
      <c r="J338" s="12">
        <v>41283</v>
      </c>
    </row>
    <row r="339" spans="1:10" ht="12.75" x14ac:dyDescent="0.2">
      <c r="A339" s="7" t="s">
        <v>56</v>
      </c>
      <c r="B339" s="7" t="s">
        <v>124</v>
      </c>
      <c r="C339" s="8">
        <v>1535</v>
      </c>
      <c r="D339" s="9">
        <v>10</v>
      </c>
      <c r="E339" s="8">
        <v>20</v>
      </c>
      <c r="F339" s="10">
        <v>30700</v>
      </c>
      <c r="G339" s="10">
        <v>2149</v>
      </c>
      <c r="H339" s="10">
        <v>28551</v>
      </c>
      <c r="I339" s="11">
        <v>15350</v>
      </c>
      <c r="J339" s="12">
        <v>41648</v>
      </c>
    </row>
    <row r="340" spans="1:10" ht="12.75" x14ac:dyDescent="0.2">
      <c r="A340" s="7" t="s">
        <v>92</v>
      </c>
      <c r="B340" s="7" t="s">
        <v>124</v>
      </c>
      <c r="C340" s="8">
        <v>1123</v>
      </c>
      <c r="D340" s="9">
        <v>10</v>
      </c>
      <c r="E340" s="8">
        <v>300</v>
      </c>
      <c r="F340" s="10">
        <v>336900</v>
      </c>
      <c r="G340" s="10">
        <v>23583</v>
      </c>
      <c r="H340" s="10">
        <v>313317</v>
      </c>
      <c r="I340" s="11">
        <v>280750</v>
      </c>
      <c r="J340" s="12">
        <v>41283</v>
      </c>
    </row>
    <row r="341" spans="1:10" ht="12.75" x14ac:dyDescent="0.2">
      <c r="A341" s="7" t="s">
        <v>95</v>
      </c>
      <c r="B341" s="7" t="s">
        <v>124</v>
      </c>
      <c r="C341" s="8">
        <v>1404</v>
      </c>
      <c r="D341" s="9">
        <v>10</v>
      </c>
      <c r="E341" s="8">
        <v>300</v>
      </c>
      <c r="F341" s="10">
        <v>421200</v>
      </c>
      <c r="G341" s="10">
        <v>29484</v>
      </c>
      <c r="H341" s="10">
        <v>391716</v>
      </c>
      <c r="I341" s="11">
        <v>351000</v>
      </c>
      <c r="J341" s="12">
        <v>41285</v>
      </c>
    </row>
    <row r="342" spans="1:10" ht="12.75" x14ac:dyDescent="0.2">
      <c r="A342" s="7" t="s">
        <v>97</v>
      </c>
      <c r="B342" s="7" t="s">
        <v>124</v>
      </c>
      <c r="C342" s="8">
        <v>2763</v>
      </c>
      <c r="D342" s="9">
        <v>10</v>
      </c>
      <c r="E342" s="8">
        <v>12</v>
      </c>
      <c r="F342" s="10">
        <v>33156</v>
      </c>
      <c r="G342" s="10">
        <v>2320.92</v>
      </c>
      <c r="H342" s="10">
        <v>30835.08</v>
      </c>
      <c r="I342" s="11">
        <v>8289</v>
      </c>
      <c r="J342" s="12">
        <v>41285</v>
      </c>
    </row>
    <row r="343" spans="1:10" ht="12.75" x14ac:dyDescent="0.2">
      <c r="A343" s="7" t="s">
        <v>29</v>
      </c>
      <c r="B343" s="7" t="s">
        <v>124</v>
      </c>
      <c r="C343" s="8">
        <v>2125</v>
      </c>
      <c r="D343" s="9">
        <v>10</v>
      </c>
      <c r="E343" s="8">
        <v>7</v>
      </c>
      <c r="F343" s="10">
        <v>14875</v>
      </c>
      <c r="G343" s="10">
        <v>1041.25</v>
      </c>
      <c r="H343" s="10">
        <v>13833.75</v>
      </c>
      <c r="I343" s="11">
        <v>10625</v>
      </c>
      <c r="J343" s="12">
        <v>41286</v>
      </c>
    </row>
    <row r="344" spans="1:10" ht="12.75" x14ac:dyDescent="0.2">
      <c r="A344" s="7" t="s">
        <v>137</v>
      </c>
      <c r="B344" s="7" t="s">
        <v>124</v>
      </c>
      <c r="C344" s="8">
        <v>1659</v>
      </c>
      <c r="D344" s="9">
        <v>120</v>
      </c>
      <c r="E344" s="8">
        <v>300</v>
      </c>
      <c r="F344" s="10">
        <v>497700</v>
      </c>
      <c r="G344" s="10">
        <v>34839</v>
      </c>
      <c r="H344" s="10">
        <v>462861</v>
      </c>
      <c r="I344" s="11">
        <v>414750</v>
      </c>
      <c r="J344" s="12">
        <v>41646</v>
      </c>
    </row>
    <row r="345" spans="1:10" ht="12.75" x14ac:dyDescent="0.2">
      <c r="A345" s="7" t="s">
        <v>37</v>
      </c>
      <c r="B345" s="7" t="s">
        <v>124</v>
      </c>
      <c r="C345" s="8">
        <v>609</v>
      </c>
      <c r="D345" s="9">
        <v>120</v>
      </c>
      <c r="E345" s="8">
        <v>20</v>
      </c>
      <c r="F345" s="10">
        <v>12180</v>
      </c>
      <c r="G345" s="10">
        <v>852.6</v>
      </c>
      <c r="H345" s="10">
        <v>11327.4</v>
      </c>
      <c r="I345" s="11">
        <v>6090</v>
      </c>
      <c r="J345" s="12">
        <v>41647</v>
      </c>
    </row>
    <row r="346" spans="1:10" ht="12.75" x14ac:dyDescent="0.2">
      <c r="A346" s="7" t="s">
        <v>99</v>
      </c>
      <c r="B346" s="7" t="s">
        <v>124</v>
      </c>
      <c r="C346" s="8">
        <v>2087</v>
      </c>
      <c r="D346" s="9">
        <v>120</v>
      </c>
      <c r="E346" s="8">
        <v>125</v>
      </c>
      <c r="F346" s="10">
        <v>260875</v>
      </c>
      <c r="G346" s="10">
        <v>18261.25</v>
      </c>
      <c r="H346" s="10">
        <v>242613.75</v>
      </c>
      <c r="I346" s="11">
        <v>250440</v>
      </c>
      <c r="J346" s="12">
        <v>41648</v>
      </c>
    </row>
    <row r="347" spans="1:10" ht="12.75" x14ac:dyDescent="0.2">
      <c r="A347" s="7" t="s">
        <v>58</v>
      </c>
      <c r="B347" s="7" t="s">
        <v>124</v>
      </c>
      <c r="C347" s="8">
        <v>1976</v>
      </c>
      <c r="D347" s="9">
        <v>120</v>
      </c>
      <c r="E347" s="8">
        <v>20</v>
      </c>
      <c r="F347" s="10">
        <v>39520</v>
      </c>
      <c r="G347" s="10">
        <v>2766.4</v>
      </c>
      <c r="H347" s="10">
        <v>36753.599999999999</v>
      </c>
      <c r="I347" s="11">
        <v>19760</v>
      </c>
      <c r="J347" s="12">
        <v>41649</v>
      </c>
    </row>
    <row r="348" spans="1:10" ht="12.75" x14ac:dyDescent="0.2">
      <c r="A348" s="7" t="s">
        <v>98</v>
      </c>
      <c r="B348" s="7" t="s">
        <v>124</v>
      </c>
      <c r="C348" s="8">
        <v>1421</v>
      </c>
      <c r="D348" s="9">
        <v>120</v>
      </c>
      <c r="E348" s="8">
        <v>20</v>
      </c>
      <c r="F348" s="10">
        <v>28420</v>
      </c>
      <c r="G348" s="10">
        <v>1989.4</v>
      </c>
      <c r="H348" s="10">
        <v>26430.6</v>
      </c>
      <c r="I348" s="11">
        <v>14210</v>
      </c>
      <c r="J348" s="12">
        <v>41286</v>
      </c>
    </row>
    <row r="349" spans="1:10" ht="12.75" x14ac:dyDescent="0.2">
      <c r="A349" s="7" t="s">
        <v>144</v>
      </c>
      <c r="B349" s="7" t="s">
        <v>124</v>
      </c>
      <c r="C349" s="8">
        <v>1372</v>
      </c>
      <c r="D349" s="9">
        <v>120</v>
      </c>
      <c r="E349" s="8">
        <v>300</v>
      </c>
      <c r="F349" s="10">
        <v>411600</v>
      </c>
      <c r="G349" s="10">
        <v>28812</v>
      </c>
      <c r="H349" s="10">
        <v>382788</v>
      </c>
      <c r="I349" s="11">
        <v>343000</v>
      </c>
      <c r="J349" s="12">
        <v>41651</v>
      </c>
    </row>
    <row r="350" spans="1:10" ht="12.75" x14ac:dyDescent="0.2">
      <c r="A350" s="7" t="s">
        <v>40</v>
      </c>
      <c r="B350" s="7" t="s">
        <v>124</v>
      </c>
      <c r="C350" s="8">
        <v>588</v>
      </c>
      <c r="D350" s="9">
        <v>120</v>
      </c>
      <c r="E350" s="8">
        <v>20</v>
      </c>
      <c r="F350" s="10">
        <v>11760</v>
      </c>
      <c r="G350" s="10">
        <v>823.2</v>
      </c>
      <c r="H350" s="10">
        <v>10936.8</v>
      </c>
      <c r="I350" s="11">
        <v>5880</v>
      </c>
      <c r="J350" s="12">
        <v>41286</v>
      </c>
    </row>
    <row r="351" spans="1:10" ht="12.75" x14ac:dyDescent="0.2">
      <c r="A351" s="7" t="s">
        <v>145</v>
      </c>
      <c r="B351" s="7" t="s">
        <v>124</v>
      </c>
      <c r="C351" s="8">
        <v>3244.5</v>
      </c>
      <c r="D351" s="9">
        <v>250</v>
      </c>
      <c r="E351" s="8">
        <v>12</v>
      </c>
      <c r="F351" s="10">
        <v>38934</v>
      </c>
      <c r="G351" s="10">
        <v>2725.38</v>
      </c>
      <c r="H351" s="10">
        <v>36208.620000000003</v>
      </c>
      <c r="I351" s="11">
        <v>9733.5</v>
      </c>
      <c r="J351" s="12">
        <v>41640</v>
      </c>
    </row>
    <row r="352" spans="1:10" ht="12.75" x14ac:dyDescent="0.2">
      <c r="A352" s="7" t="s">
        <v>48</v>
      </c>
      <c r="B352" s="7" t="s">
        <v>124</v>
      </c>
      <c r="C352" s="8">
        <v>959</v>
      </c>
      <c r="D352" s="9">
        <v>250</v>
      </c>
      <c r="E352" s="8">
        <v>300</v>
      </c>
      <c r="F352" s="10">
        <v>287700</v>
      </c>
      <c r="G352" s="10">
        <v>20139</v>
      </c>
      <c r="H352" s="10">
        <v>267561</v>
      </c>
      <c r="I352" s="11">
        <v>239750</v>
      </c>
      <c r="J352" s="12">
        <v>41641</v>
      </c>
    </row>
    <row r="353" spans="1:10" ht="12.75" x14ac:dyDescent="0.2">
      <c r="A353" s="7" t="s">
        <v>82</v>
      </c>
      <c r="B353" s="7" t="s">
        <v>124</v>
      </c>
      <c r="C353" s="8">
        <v>2747</v>
      </c>
      <c r="D353" s="9">
        <v>250</v>
      </c>
      <c r="E353" s="8">
        <v>300</v>
      </c>
      <c r="F353" s="10">
        <v>824100</v>
      </c>
      <c r="G353" s="10">
        <v>57687</v>
      </c>
      <c r="H353" s="10">
        <v>766413</v>
      </c>
      <c r="I353" s="11">
        <v>686750</v>
      </c>
      <c r="J353" s="12">
        <v>41641</v>
      </c>
    </row>
    <row r="354" spans="1:10" ht="12.75" x14ac:dyDescent="0.2">
      <c r="A354" s="7" t="s">
        <v>146</v>
      </c>
      <c r="B354" s="7" t="s">
        <v>124</v>
      </c>
      <c r="C354" s="8">
        <v>1645</v>
      </c>
      <c r="D354" s="9">
        <v>260</v>
      </c>
      <c r="E354" s="8">
        <v>125</v>
      </c>
      <c r="F354" s="10">
        <v>205625</v>
      </c>
      <c r="G354" s="10">
        <v>14393.75</v>
      </c>
      <c r="H354" s="10">
        <v>191231.25</v>
      </c>
      <c r="I354" s="11">
        <v>197400</v>
      </c>
      <c r="J354" s="12">
        <v>41644</v>
      </c>
    </row>
    <row r="355" spans="1:10" ht="12.75" x14ac:dyDescent="0.2">
      <c r="A355" s="7" t="s">
        <v>50</v>
      </c>
      <c r="B355" s="7" t="s">
        <v>124</v>
      </c>
      <c r="C355" s="8">
        <v>2876</v>
      </c>
      <c r="D355" s="9">
        <v>260</v>
      </c>
      <c r="E355" s="8">
        <v>350</v>
      </c>
      <c r="F355" s="10">
        <v>1006600</v>
      </c>
      <c r="G355" s="10">
        <v>70462</v>
      </c>
      <c r="H355" s="10">
        <v>936138</v>
      </c>
      <c r="I355" s="11">
        <v>747760</v>
      </c>
      <c r="J355" s="12">
        <v>41648</v>
      </c>
    </row>
    <row r="356" spans="1:10" ht="12.75" x14ac:dyDescent="0.2">
      <c r="A356" s="7" t="s">
        <v>52</v>
      </c>
      <c r="B356" s="7" t="s">
        <v>124</v>
      </c>
      <c r="C356" s="8">
        <v>994</v>
      </c>
      <c r="D356" s="9">
        <v>260</v>
      </c>
      <c r="E356" s="8">
        <v>125</v>
      </c>
      <c r="F356" s="10">
        <v>124250</v>
      </c>
      <c r="G356" s="10">
        <v>8697.5</v>
      </c>
      <c r="H356" s="10">
        <v>115552.5</v>
      </c>
      <c r="I356" s="11">
        <v>119280</v>
      </c>
      <c r="J356" s="12">
        <v>41283</v>
      </c>
    </row>
    <row r="357" spans="1:10" ht="12.75" x14ac:dyDescent="0.2">
      <c r="A357" s="7" t="s">
        <v>123</v>
      </c>
      <c r="B357" s="7" t="s">
        <v>124</v>
      </c>
      <c r="C357" s="8">
        <v>1118</v>
      </c>
      <c r="D357" s="9">
        <v>260</v>
      </c>
      <c r="E357" s="8">
        <v>20</v>
      </c>
      <c r="F357" s="10">
        <v>22360</v>
      </c>
      <c r="G357" s="10">
        <v>1565.2</v>
      </c>
      <c r="H357" s="10">
        <v>20794.8</v>
      </c>
      <c r="I357" s="11">
        <v>11180</v>
      </c>
      <c r="J357" s="12">
        <v>41650</v>
      </c>
    </row>
    <row r="358" spans="1:10" ht="12.75" x14ac:dyDescent="0.2">
      <c r="A358" s="7" t="s">
        <v>147</v>
      </c>
      <c r="B358" s="7" t="s">
        <v>124</v>
      </c>
      <c r="C358" s="8">
        <v>1372</v>
      </c>
      <c r="D358" s="9">
        <v>260</v>
      </c>
      <c r="E358" s="8">
        <v>300</v>
      </c>
      <c r="F358" s="10">
        <v>411600</v>
      </c>
      <c r="G358" s="10">
        <v>28812</v>
      </c>
      <c r="H358" s="10">
        <v>382788</v>
      </c>
      <c r="I358" s="11">
        <v>343000</v>
      </c>
      <c r="J358" s="12">
        <v>41651</v>
      </c>
    </row>
    <row r="359" spans="1:10" ht="12.75" x14ac:dyDescent="0.2">
      <c r="A359" s="7" t="s">
        <v>69</v>
      </c>
      <c r="B359" s="7" t="s">
        <v>124</v>
      </c>
      <c r="C359" s="8">
        <v>488</v>
      </c>
      <c r="D359" s="9">
        <v>5</v>
      </c>
      <c r="E359" s="8">
        <v>7</v>
      </c>
      <c r="F359" s="10">
        <v>3416</v>
      </c>
      <c r="G359" s="10">
        <v>273.27999999999997</v>
      </c>
      <c r="H359" s="10">
        <v>3142.72</v>
      </c>
      <c r="I359" s="11">
        <v>2440</v>
      </c>
      <c r="J359" s="12">
        <v>41641</v>
      </c>
    </row>
    <row r="360" spans="1:10" ht="12.75" x14ac:dyDescent="0.2">
      <c r="A360" s="7" t="s">
        <v>88</v>
      </c>
      <c r="B360" s="7" t="s">
        <v>124</v>
      </c>
      <c r="C360" s="8">
        <v>1282</v>
      </c>
      <c r="D360" s="9">
        <v>5</v>
      </c>
      <c r="E360" s="8">
        <v>20</v>
      </c>
      <c r="F360" s="10">
        <v>25640</v>
      </c>
      <c r="G360" s="10">
        <v>2051.1999999999998</v>
      </c>
      <c r="H360" s="10">
        <v>23588.799999999999</v>
      </c>
      <c r="I360" s="11">
        <v>12820</v>
      </c>
      <c r="J360" s="12">
        <v>41645</v>
      </c>
    </row>
    <row r="361" spans="1:10" ht="12.75" x14ac:dyDescent="0.2">
      <c r="A361" s="7" t="s">
        <v>26</v>
      </c>
      <c r="B361" s="7" t="s">
        <v>124</v>
      </c>
      <c r="C361" s="8">
        <v>257</v>
      </c>
      <c r="D361" s="9">
        <v>10</v>
      </c>
      <c r="E361" s="8">
        <v>7</v>
      </c>
      <c r="F361" s="10">
        <v>1799</v>
      </c>
      <c r="G361" s="10">
        <v>143.91999999999999</v>
      </c>
      <c r="H361" s="10">
        <v>1655.08</v>
      </c>
      <c r="I361" s="11">
        <v>1285</v>
      </c>
      <c r="J361" s="12">
        <v>41644</v>
      </c>
    </row>
    <row r="362" spans="1:10" ht="12.75" x14ac:dyDescent="0.2">
      <c r="A362" s="7" t="s">
        <v>54</v>
      </c>
      <c r="B362" s="7" t="s">
        <v>124</v>
      </c>
      <c r="C362" s="8">
        <v>1282</v>
      </c>
      <c r="D362" s="9">
        <v>260</v>
      </c>
      <c r="E362" s="8">
        <v>20</v>
      </c>
      <c r="F362" s="10">
        <v>25640</v>
      </c>
      <c r="G362" s="10">
        <v>2051.1999999999998</v>
      </c>
      <c r="H362" s="10">
        <v>23588.799999999999</v>
      </c>
      <c r="I362" s="11">
        <v>12820</v>
      </c>
      <c r="J362" s="12">
        <v>41645</v>
      </c>
    </row>
    <row r="363" spans="1:10" ht="12.75" x14ac:dyDescent="0.2">
      <c r="A363" s="7" t="s">
        <v>148</v>
      </c>
      <c r="B363" s="7" t="s">
        <v>124</v>
      </c>
      <c r="C363" s="8">
        <v>1540</v>
      </c>
      <c r="D363" s="9">
        <v>3</v>
      </c>
      <c r="E363" s="8">
        <v>125</v>
      </c>
      <c r="F363" s="10">
        <v>192500</v>
      </c>
      <c r="G363" s="10">
        <v>15400</v>
      </c>
      <c r="H363" s="10">
        <v>177100</v>
      </c>
      <c r="I363" s="11">
        <v>184800</v>
      </c>
      <c r="J363" s="12">
        <v>41647</v>
      </c>
    </row>
    <row r="364" spans="1:10" ht="12.75" x14ac:dyDescent="0.2">
      <c r="A364" s="7" t="s">
        <v>14</v>
      </c>
      <c r="B364" s="7" t="s">
        <v>124</v>
      </c>
      <c r="C364" s="8">
        <v>490</v>
      </c>
      <c r="D364" s="9">
        <v>3</v>
      </c>
      <c r="E364" s="8">
        <v>15</v>
      </c>
      <c r="F364" s="10">
        <v>7350</v>
      </c>
      <c r="G364" s="10">
        <v>588</v>
      </c>
      <c r="H364" s="10">
        <v>6762</v>
      </c>
      <c r="I364" s="11">
        <v>4900</v>
      </c>
      <c r="J364" s="12">
        <v>41650</v>
      </c>
    </row>
    <row r="365" spans="1:10" ht="12.75" x14ac:dyDescent="0.2">
      <c r="A365" s="7" t="s">
        <v>60</v>
      </c>
      <c r="B365" s="7" t="s">
        <v>124</v>
      </c>
      <c r="C365" s="8">
        <v>1362</v>
      </c>
      <c r="D365" s="9">
        <v>3</v>
      </c>
      <c r="E365" s="8">
        <v>350</v>
      </c>
      <c r="F365" s="10">
        <v>476700</v>
      </c>
      <c r="G365" s="10">
        <v>38136</v>
      </c>
      <c r="H365" s="10">
        <v>438564</v>
      </c>
      <c r="I365" s="11">
        <v>354120</v>
      </c>
      <c r="J365" s="12">
        <v>41651</v>
      </c>
    </row>
    <row r="366" spans="1:10" ht="12.75" x14ac:dyDescent="0.2">
      <c r="A366" s="7" t="s">
        <v>149</v>
      </c>
      <c r="B366" s="7" t="s">
        <v>124</v>
      </c>
      <c r="C366" s="8">
        <v>2501</v>
      </c>
      <c r="D366" s="9">
        <v>5</v>
      </c>
      <c r="E366" s="8">
        <v>15</v>
      </c>
      <c r="F366" s="10">
        <v>37515</v>
      </c>
      <c r="G366" s="10">
        <v>3001.2</v>
      </c>
      <c r="H366" s="10">
        <v>34513.800000000003</v>
      </c>
      <c r="I366" s="11">
        <v>25010</v>
      </c>
      <c r="J366" s="12">
        <v>41642</v>
      </c>
    </row>
    <row r="367" spans="1:10" ht="12.75" x14ac:dyDescent="0.2">
      <c r="A367" s="7" t="s">
        <v>69</v>
      </c>
      <c r="B367" s="7" t="s">
        <v>124</v>
      </c>
      <c r="C367" s="8">
        <v>708</v>
      </c>
      <c r="D367" s="9">
        <v>5</v>
      </c>
      <c r="E367" s="8">
        <v>20</v>
      </c>
      <c r="F367" s="10">
        <v>14160</v>
      </c>
      <c r="G367" s="10">
        <v>1132.8</v>
      </c>
      <c r="H367" s="10">
        <v>13027.2</v>
      </c>
      <c r="I367" s="11">
        <v>7080</v>
      </c>
      <c r="J367" s="12">
        <v>41645</v>
      </c>
    </row>
    <row r="368" spans="1:10" ht="12.75" x14ac:dyDescent="0.2">
      <c r="A368" s="7" t="s">
        <v>24</v>
      </c>
      <c r="B368" s="7" t="s">
        <v>124</v>
      </c>
      <c r="C368" s="8">
        <v>645</v>
      </c>
      <c r="D368" s="9">
        <v>5</v>
      </c>
      <c r="E368" s="8">
        <v>20</v>
      </c>
      <c r="F368" s="10">
        <v>12900</v>
      </c>
      <c r="G368" s="10">
        <v>1032</v>
      </c>
      <c r="H368" s="10">
        <v>11868</v>
      </c>
      <c r="I368" s="11">
        <v>6450</v>
      </c>
      <c r="J368" s="12">
        <v>41646</v>
      </c>
    </row>
    <row r="369" spans="1:10" ht="12.75" x14ac:dyDescent="0.2">
      <c r="A369" s="7" t="s">
        <v>143</v>
      </c>
      <c r="B369" s="7" t="s">
        <v>124</v>
      </c>
      <c r="C369" s="8">
        <v>1562</v>
      </c>
      <c r="D369" s="9">
        <v>5</v>
      </c>
      <c r="E369" s="8">
        <v>300</v>
      </c>
      <c r="F369" s="10">
        <v>468600</v>
      </c>
      <c r="G369" s="10">
        <v>37488</v>
      </c>
      <c r="H369" s="10">
        <v>431112</v>
      </c>
      <c r="I369" s="11">
        <v>390500</v>
      </c>
      <c r="J369" s="12">
        <v>41647</v>
      </c>
    </row>
    <row r="370" spans="1:10" ht="12.75" x14ac:dyDescent="0.2">
      <c r="A370" s="7" t="s">
        <v>150</v>
      </c>
      <c r="B370" s="7" t="s">
        <v>124</v>
      </c>
      <c r="C370" s="8">
        <v>1283</v>
      </c>
      <c r="D370" s="9">
        <v>5</v>
      </c>
      <c r="E370" s="8">
        <v>300</v>
      </c>
      <c r="F370" s="10">
        <v>384900</v>
      </c>
      <c r="G370" s="10">
        <v>30792</v>
      </c>
      <c r="H370" s="10">
        <v>354108</v>
      </c>
      <c r="I370" s="11">
        <v>320750</v>
      </c>
      <c r="J370" s="12">
        <v>41283</v>
      </c>
    </row>
    <row r="371" spans="1:10" ht="12.75" x14ac:dyDescent="0.2">
      <c r="A371" s="7" t="s">
        <v>17</v>
      </c>
      <c r="B371" s="7" t="s">
        <v>124</v>
      </c>
      <c r="C371" s="8">
        <v>711</v>
      </c>
      <c r="D371" s="9">
        <v>5</v>
      </c>
      <c r="E371" s="8">
        <v>15</v>
      </c>
      <c r="F371" s="10">
        <v>10665</v>
      </c>
      <c r="G371" s="10">
        <v>853.2</v>
      </c>
      <c r="H371" s="10">
        <v>9811.7999999999993</v>
      </c>
      <c r="I371" s="11">
        <v>7110</v>
      </c>
      <c r="J371" s="12">
        <v>41651</v>
      </c>
    </row>
    <row r="372" spans="1:10" ht="12.75" x14ac:dyDescent="0.2">
      <c r="A372" s="7" t="s">
        <v>74</v>
      </c>
      <c r="B372" s="7" t="s">
        <v>124</v>
      </c>
      <c r="C372" s="8">
        <v>1114</v>
      </c>
      <c r="D372" s="9">
        <v>10</v>
      </c>
      <c r="E372" s="8">
        <v>125</v>
      </c>
      <c r="F372" s="10">
        <v>139250</v>
      </c>
      <c r="G372" s="10">
        <v>11140</v>
      </c>
      <c r="H372" s="10">
        <v>128110</v>
      </c>
      <c r="I372" s="11">
        <v>133680</v>
      </c>
      <c r="J372" s="12">
        <v>41642</v>
      </c>
    </row>
    <row r="373" spans="1:10" ht="12.75" x14ac:dyDescent="0.2">
      <c r="A373" s="7" t="s">
        <v>29</v>
      </c>
      <c r="B373" s="7" t="s">
        <v>124</v>
      </c>
      <c r="C373" s="8">
        <v>1259</v>
      </c>
      <c r="D373" s="9">
        <v>10</v>
      </c>
      <c r="E373" s="8">
        <v>7</v>
      </c>
      <c r="F373" s="10">
        <v>8813</v>
      </c>
      <c r="G373" s="10">
        <v>705.04</v>
      </c>
      <c r="H373" s="10">
        <v>8107.96</v>
      </c>
      <c r="I373" s="11">
        <v>6295</v>
      </c>
      <c r="J373" s="12">
        <v>41643</v>
      </c>
    </row>
    <row r="374" spans="1:10" ht="12.75" x14ac:dyDescent="0.2">
      <c r="A374" s="7" t="s">
        <v>29</v>
      </c>
      <c r="B374" s="7" t="s">
        <v>124</v>
      </c>
      <c r="C374" s="8">
        <v>1095</v>
      </c>
      <c r="D374" s="9">
        <v>10</v>
      </c>
      <c r="E374" s="8">
        <v>7</v>
      </c>
      <c r="F374" s="10">
        <v>7665</v>
      </c>
      <c r="G374" s="10">
        <v>613.20000000000005</v>
      </c>
      <c r="H374" s="10">
        <v>7051.8</v>
      </c>
      <c r="I374" s="11">
        <v>5475</v>
      </c>
      <c r="J374" s="12">
        <v>41644</v>
      </c>
    </row>
    <row r="375" spans="1:10" ht="12.75" x14ac:dyDescent="0.2">
      <c r="A375" s="7" t="s">
        <v>29</v>
      </c>
      <c r="B375" s="7" t="s">
        <v>124</v>
      </c>
      <c r="C375" s="8">
        <v>1366</v>
      </c>
      <c r="D375" s="9">
        <v>10</v>
      </c>
      <c r="E375" s="8">
        <v>20</v>
      </c>
      <c r="F375" s="10">
        <v>27320</v>
      </c>
      <c r="G375" s="10">
        <v>2185.6</v>
      </c>
      <c r="H375" s="10">
        <v>25134.400000000001</v>
      </c>
      <c r="I375" s="11">
        <v>13660</v>
      </c>
      <c r="J375" s="12">
        <v>41645</v>
      </c>
    </row>
    <row r="376" spans="1:10" ht="12.75" x14ac:dyDescent="0.2">
      <c r="A376" s="7" t="s">
        <v>33</v>
      </c>
      <c r="B376" s="7" t="s">
        <v>124</v>
      </c>
      <c r="C376" s="8">
        <v>2460</v>
      </c>
      <c r="D376" s="9">
        <v>10</v>
      </c>
      <c r="E376" s="8">
        <v>300</v>
      </c>
      <c r="F376" s="10">
        <v>738000</v>
      </c>
      <c r="G376" s="10">
        <v>59040</v>
      </c>
      <c r="H376" s="10">
        <v>678960</v>
      </c>
      <c r="I376" s="11">
        <v>615000</v>
      </c>
      <c r="J376" s="12">
        <v>41645</v>
      </c>
    </row>
    <row r="377" spans="1:10" ht="12.75" x14ac:dyDescent="0.2">
      <c r="A377" s="7" t="s">
        <v>34</v>
      </c>
      <c r="B377" s="7" t="s">
        <v>124</v>
      </c>
      <c r="C377" s="8">
        <v>678</v>
      </c>
      <c r="D377" s="9">
        <v>10</v>
      </c>
      <c r="E377" s="8">
        <v>7</v>
      </c>
      <c r="F377" s="10">
        <v>4746</v>
      </c>
      <c r="G377" s="10">
        <v>379.68</v>
      </c>
      <c r="H377" s="10">
        <v>4366.32</v>
      </c>
      <c r="I377" s="11">
        <v>3390</v>
      </c>
      <c r="J377" s="12">
        <v>41647</v>
      </c>
    </row>
    <row r="378" spans="1:10" ht="12.75" x14ac:dyDescent="0.2">
      <c r="A378" s="7" t="s">
        <v>29</v>
      </c>
      <c r="B378" s="7" t="s">
        <v>124</v>
      </c>
      <c r="C378" s="8">
        <v>1598</v>
      </c>
      <c r="D378" s="9">
        <v>10</v>
      </c>
      <c r="E378" s="8">
        <v>7</v>
      </c>
      <c r="F378" s="10">
        <v>11186</v>
      </c>
      <c r="G378" s="10">
        <v>894.88</v>
      </c>
      <c r="H378" s="10">
        <v>10291.120000000001</v>
      </c>
      <c r="I378" s="11">
        <v>7990</v>
      </c>
      <c r="J378" s="12">
        <v>41647</v>
      </c>
    </row>
    <row r="379" spans="1:10" ht="12.75" x14ac:dyDescent="0.2">
      <c r="A379" s="7" t="s">
        <v>29</v>
      </c>
      <c r="B379" s="7" t="s">
        <v>124</v>
      </c>
      <c r="C379" s="8">
        <v>2409</v>
      </c>
      <c r="D379" s="9">
        <v>10</v>
      </c>
      <c r="E379" s="8">
        <v>7</v>
      </c>
      <c r="F379" s="10">
        <v>16863</v>
      </c>
      <c r="G379" s="10">
        <v>1349.04</v>
      </c>
      <c r="H379" s="10">
        <v>15513.96</v>
      </c>
      <c r="I379" s="11">
        <v>12045</v>
      </c>
      <c r="J379" s="12">
        <v>41283</v>
      </c>
    </row>
    <row r="380" spans="1:10" ht="12.75" x14ac:dyDescent="0.2">
      <c r="A380" s="7" t="s">
        <v>29</v>
      </c>
      <c r="B380" s="7" t="s">
        <v>124</v>
      </c>
      <c r="C380" s="8">
        <v>1934</v>
      </c>
      <c r="D380" s="9">
        <v>10</v>
      </c>
      <c r="E380" s="8">
        <v>20</v>
      </c>
      <c r="F380" s="10">
        <v>38680</v>
      </c>
      <c r="G380" s="10">
        <v>3094.4</v>
      </c>
      <c r="H380" s="10">
        <v>35585.599999999999</v>
      </c>
      <c r="I380" s="11">
        <v>19340</v>
      </c>
      <c r="J380" s="12">
        <v>41648</v>
      </c>
    </row>
    <row r="381" spans="1:10" ht="12.75" x14ac:dyDescent="0.2">
      <c r="A381" s="7" t="s">
        <v>31</v>
      </c>
      <c r="B381" s="7" t="s">
        <v>124</v>
      </c>
      <c r="C381" s="8">
        <v>2993</v>
      </c>
      <c r="D381" s="9">
        <v>10</v>
      </c>
      <c r="E381" s="8">
        <v>20</v>
      </c>
      <c r="F381" s="10">
        <v>59860</v>
      </c>
      <c r="G381" s="10">
        <v>4788.8</v>
      </c>
      <c r="H381" s="10">
        <v>55071.199999999997</v>
      </c>
      <c r="I381" s="11">
        <v>29930</v>
      </c>
      <c r="J381" s="12">
        <v>41648</v>
      </c>
    </row>
    <row r="382" spans="1:10" ht="12.75" x14ac:dyDescent="0.2">
      <c r="A382" s="7" t="s">
        <v>29</v>
      </c>
      <c r="B382" s="7" t="s">
        <v>124</v>
      </c>
      <c r="C382" s="8">
        <v>2146</v>
      </c>
      <c r="D382" s="9">
        <v>10</v>
      </c>
      <c r="E382" s="8">
        <v>350</v>
      </c>
      <c r="F382" s="10">
        <v>751100</v>
      </c>
      <c r="G382" s="10">
        <v>60088</v>
      </c>
      <c r="H382" s="10">
        <v>691012</v>
      </c>
      <c r="I382" s="11">
        <v>557960</v>
      </c>
      <c r="J382" s="12">
        <v>41285</v>
      </c>
    </row>
    <row r="383" spans="1:10" ht="12.75" x14ac:dyDescent="0.2">
      <c r="A383" s="7" t="s">
        <v>31</v>
      </c>
      <c r="B383" s="7" t="s">
        <v>124</v>
      </c>
      <c r="C383" s="8">
        <v>1946</v>
      </c>
      <c r="D383" s="9">
        <v>10</v>
      </c>
      <c r="E383" s="8">
        <v>7</v>
      </c>
      <c r="F383" s="10">
        <v>13622</v>
      </c>
      <c r="G383" s="10">
        <v>1089.76</v>
      </c>
      <c r="H383" s="10">
        <v>12532.24</v>
      </c>
      <c r="I383" s="11">
        <v>9730</v>
      </c>
      <c r="J383" s="12">
        <v>41286</v>
      </c>
    </row>
    <row r="384" spans="1:10" ht="12.75" x14ac:dyDescent="0.2">
      <c r="A384" s="7" t="s">
        <v>31</v>
      </c>
      <c r="B384" s="7" t="s">
        <v>124</v>
      </c>
      <c r="C384" s="8">
        <v>1362</v>
      </c>
      <c r="D384" s="9">
        <v>10</v>
      </c>
      <c r="E384" s="8">
        <v>350</v>
      </c>
      <c r="F384" s="10">
        <v>476700</v>
      </c>
      <c r="G384" s="10">
        <v>38136</v>
      </c>
      <c r="H384" s="10">
        <v>438564</v>
      </c>
      <c r="I384" s="11">
        <v>354120</v>
      </c>
      <c r="J384" s="12">
        <v>41651</v>
      </c>
    </row>
    <row r="385" spans="1:10" ht="12.75" x14ac:dyDescent="0.2">
      <c r="A385" s="7" t="s">
        <v>125</v>
      </c>
      <c r="B385" s="7" t="s">
        <v>124</v>
      </c>
      <c r="C385" s="8">
        <v>598</v>
      </c>
      <c r="D385" s="9">
        <v>120</v>
      </c>
      <c r="E385" s="8">
        <v>12</v>
      </c>
      <c r="F385" s="10">
        <v>7176</v>
      </c>
      <c r="G385" s="10">
        <v>574.08000000000004</v>
      </c>
      <c r="H385" s="10">
        <v>6601.92</v>
      </c>
      <c r="I385" s="11">
        <v>1794</v>
      </c>
      <c r="J385" s="12">
        <v>41642</v>
      </c>
    </row>
    <row r="386" spans="1:10" ht="12.75" x14ac:dyDescent="0.2">
      <c r="A386" s="7" t="s">
        <v>98</v>
      </c>
      <c r="B386" s="7" t="s">
        <v>124</v>
      </c>
      <c r="C386" s="8">
        <v>2907</v>
      </c>
      <c r="D386" s="9">
        <v>120</v>
      </c>
      <c r="E386" s="8">
        <v>7</v>
      </c>
      <c r="F386" s="10">
        <v>20349</v>
      </c>
      <c r="G386" s="10">
        <v>1627.92</v>
      </c>
      <c r="H386" s="10">
        <v>18721.080000000002</v>
      </c>
      <c r="I386" s="11">
        <v>14535</v>
      </c>
      <c r="J386" s="12">
        <v>41645</v>
      </c>
    </row>
    <row r="387" spans="1:10" ht="12.75" x14ac:dyDescent="0.2">
      <c r="A387" s="7" t="s">
        <v>40</v>
      </c>
      <c r="B387" s="7" t="s">
        <v>124</v>
      </c>
      <c r="C387" s="8">
        <v>2338</v>
      </c>
      <c r="D387" s="9">
        <v>120</v>
      </c>
      <c r="E387" s="8">
        <v>7</v>
      </c>
      <c r="F387" s="10">
        <v>16366</v>
      </c>
      <c r="G387" s="10">
        <v>1309.28</v>
      </c>
      <c r="H387" s="10">
        <v>15056.72</v>
      </c>
      <c r="I387" s="11">
        <v>11690</v>
      </c>
      <c r="J387" s="12">
        <v>41645</v>
      </c>
    </row>
    <row r="388" spans="1:10" ht="12.75" x14ac:dyDescent="0.2">
      <c r="A388" s="7" t="s">
        <v>137</v>
      </c>
      <c r="B388" s="7" t="s">
        <v>124</v>
      </c>
      <c r="C388" s="8">
        <v>386</v>
      </c>
      <c r="D388" s="9">
        <v>120</v>
      </c>
      <c r="E388" s="8">
        <v>300</v>
      </c>
      <c r="F388" s="10">
        <v>115800</v>
      </c>
      <c r="G388" s="10">
        <v>9264</v>
      </c>
      <c r="H388" s="10">
        <v>106536</v>
      </c>
      <c r="I388" s="11">
        <v>96500</v>
      </c>
      <c r="J388" s="12">
        <v>41285</v>
      </c>
    </row>
    <row r="389" spans="1:10" ht="12.75" x14ac:dyDescent="0.2">
      <c r="A389" s="7" t="s">
        <v>151</v>
      </c>
      <c r="B389" s="7" t="s">
        <v>124</v>
      </c>
      <c r="C389" s="8">
        <v>635</v>
      </c>
      <c r="D389" s="9">
        <v>120</v>
      </c>
      <c r="E389" s="8">
        <v>300</v>
      </c>
      <c r="F389" s="10">
        <v>190500</v>
      </c>
      <c r="G389" s="10">
        <v>15240</v>
      </c>
      <c r="H389" s="10">
        <v>175260</v>
      </c>
      <c r="I389" s="11">
        <v>158750</v>
      </c>
      <c r="J389" s="12">
        <v>41651</v>
      </c>
    </row>
    <row r="390" spans="1:10" ht="12.75" x14ac:dyDescent="0.2">
      <c r="A390" s="7" t="s">
        <v>47</v>
      </c>
      <c r="B390" s="7" t="s">
        <v>124</v>
      </c>
      <c r="C390" s="8">
        <v>574.5</v>
      </c>
      <c r="D390" s="9">
        <v>250</v>
      </c>
      <c r="E390" s="8">
        <v>350</v>
      </c>
      <c r="F390" s="10">
        <v>201075</v>
      </c>
      <c r="G390" s="10">
        <v>16086</v>
      </c>
      <c r="H390" s="10">
        <v>184989</v>
      </c>
      <c r="I390" s="11">
        <v>149370</v>
      </c>
      <c r="J390" s="12">
        <v>41643</v>
      </c>
    </row>
    <row r="391" spans="1:10" ht="12.75" x14ac:dyDescent="0.2">
      <c r="A391" s="7" t="s">
        <v>78</v>
      </c>
      <c r="B391" s="7" t="s">
        <v>124</v>
      </c>
      <c r="C391" s="8">
        <v>2338</v>
      </c>
      <c r="D391" s="9">
        <v>250</v>
      </c>
      <c r="E391" s="8">
        <v>7</v>
      </c>
      <c r="F391" s="10">
        <v>16366</v>
      </c>
      <c r="G391" s="10">
        <v>1309.28</v>
      </c>
      <c r="H391" s="10">
        <v>15056.72</v>
      </c>
      <c r="I391" s="11">
        <v>11690</v>
      </c>
      <c r="J391" s="12">
        <v>41645</v>
      </c>
    </row>
    <row r="392" spans="1:10" ht="12.75" x14ac:dyDescent="0.2">
      <c r="A392" s="7" t="s">
        <v>47</v>
      </c>
      <c r="B392" s="7" t="s">
        <v>124</v>
      </c>
      <c r="C392" s="8">
        <v>381</v>
      </c>
      <c r="D392" s="9">
        <v>250</v>
      </c>
      <c r="E392" s="8">
        <v>350</v>
      </c>
      <c r="F392" s="10">
        <v>133350</v>
      </c>
      <c r="G392" s="10">
        <v>10668</v>
      </c>
      <c r="H392" s="10">
        <v>122682</v>
      </c>
      <c r="I392" s="11">
        <v>99060</v>
      </c>
      <c r="J392" s="12">
        <v>41647</v>
      </c>
    </row>
    <row r="393" spans="1:10" ht="12.75" x14ac:dyDescent="0.2">
      <c r="A393" s="7" t="s">
        <v>78</v>
      </c>
      <c r="B393" s="7" t="s">
        <v>124</v>
      </c>
      <c r="C393" s="8">
        <v>422</v>
      </c>
      <c r="D393" s="9">
        <v>250</v>
      </c>
      <c r="E393" s="8">
        <v>350</v>
      </c>
      <c r="F393" s="10">
        <v>147700</v>
      </c>
      <c r="G393" s="10">
        <v>11816</v>
      </c>
      <c r="H393" s="10">
        <v>135884</v>
      </c>
      <c r="I393" s="11">
        <v>109720</v>
      </c>
      <c r="J393" s="12">
        <v>41647</v>
      </c>
    </row>
    <row r="394" spans="1:10" ht="12.75" x14ac:dyDescent="0.2">
      <c r="A394" s="7" t="s">
        <v>43</v>
      </c>
      <c r="B394" s="7" t="s">
        <v>124</v>
      </c>
      <c r="C394" s="8">
        <v>2134</v>
      </c>
      <c r="D394" s="9">
        <v>250</v>
      </c>
      <c r="E394" s="8">
        <v>300</v>
      </c>
      <c r="F394" s="10">
        <v>640200</v>
      </c>
      <c r="G394" s="10">
        <v>51216</v>
      </c>
      <c r="H394" s="10">
        <v>588984</v>
      </c>
      <c r="I394" s="11">
        <v>533500</v>
      </c>
      <c r="J394" s="12">
        <v>41648</v>
      </c>
    </row>
    <row r="395" spans="1:10" ht="12.75" x14ac:dyDescent="0.2">
      <c r="A395" s="7" t="s">
        <v>113</v>
      </c>
      <c r="B395" s="7" t="s">
        <v>124</v>
      </c>
      <c r="C395" s="8">
        <v>808</v>
      </c>
      <c r="D395" s="9">
        <v>250</v>
      </c>
      <c r="E395" s="8">
        <v>300</v>
      </c>
      <c r="F395" s="10">
        <v>242400</v>
      </c>
      <c r="G395" s="10">
        <v>19392</v>
      </c>
      <c r="H395" s="10">
        <v>223008</v>
      </c>
      <c r="I395" s="11">
        <v>202000</v>
      </c>
      <c r="J395" s="12">
        <v>41286</v>
      </c>
    </row>
    <row r="396" spans="1:10" ht="12.75" x14ac:dyDescent="0.2">
      <c r="A396" s="7" t="s">
        <v>123</v>
      </c>
      <c r="B396" s="7" t="s">
        <v>124</v>
      </c>
      <c r="C396" s="8">
        <v>708</v>
      </c>
      <c r="D396" s="9">
        <v>260</v>
      </c>
      <c r="E396" s="8">
        <v>20</v>
      </c>
      <c r="F396" s="10">
        <v>14160</v>
      </c>
      <c r="G396" s="10">
        <v>1132.8</v>
      </c>
      <c r="H396" s="10">
        <v>13027.2</v>
      </c>
      <c r="I396" s="11">
        <v>7080</v>
      </c>
      <c r="J396" s="12">
        <v>41645</v>
      </c>
    </row>
    <row r="397" spans="1:10" ht="12.75" x14ac:dyDescent="0.2">
      <c r="A397" s="7" t="s">
        <v>54</v>
      </c>
      <c r="B397" s="7" t="s">
        <v>124</v>
      </c>
      <c r="C397" s="8">
        <v>2907</v>
      </c>
      <c r="D397" s="9">
        <v>260</v>
      </c>
      <c r="E397" s="8">
        <v>7</v>
      </c>
      <c r="F397" s="10">
        <v>20349</v>
      </c>
      <c r="G397" s="10">
        <v>1627.92</v>
      </c>
      <c r="H397" s="10">
        <v>18721.080000000002</v>
      </c>
      <c r="I397" s="11">
        <v>14535</v>
      </c>
      <c r="J397" s="12">
        <v>41645</v>
      </c>
    </row>
    <row r="398" spans="1:10" ht="12.75" x14ac:dyDescent="0.2">
      <c r="A398" s="7" t="s">
        <v>53</v>
      </c>
      <c r="B398" s="7" t="s">
        <v>124</v>
      </c>
      <c r="C398" s="8">
        <v>1366</v>
      </c>
      <c r="D398" s="9">
        <v>260</v>
      </c>
      <c r="E398" s="8">
        <v>20</v>
      </c>
      <c r="F398" s="10">
        <v>27320</v>
      </c>
      <c r="G398" s="10">
        <v>2185.6</v>
      </c>
      <c r="H398" s="10">
        <v>25134.400000000001</v>
      </c>
      <c r="I398" s="11">
        <v>13660</v>
      </c>
      <c r="J398" s="12">
        <v>41645</v>
      </c>
    </row>
    <row r="399" spans="1:10" ht="12.75" x14ac:dyDescent="0.2">
      <c r="A399" s="7" t="s">
        <v>107</v>
      </c>
      <c r="B399" s="7" t="s">
        <v>124</v>
      </c>
      <c r="C399" s="8">
        <v>2460</v>
      </c>
      <c r="D399" s="9">
        <v>260</v>
      </c>
      <c r="E399" s="8">
        <v>300</v>
      </c>
      <c r="F399" s="10">
        <v>738000</v>
      </c>
      <c r="G399" s="10">
        <v>59040</v>
      </c>
      <c r="H399" s="10">
        <v>678960</v>
      </c>
      <c r="I399" s="11">
        <v>615000</v>
      </c>
      <c r="J399" s="12">
        <v>41645</v>
      </c>
    </row>
    <row r="400" spans="1:10" ht="12.75" x14ac:dyDescent="0.2">
      <c r="A400" s="7" t="s">
        <v>53</v>
      </c>
      <c r="B400" s="7" t="s">
        <v>124</v>
      </c>
      <c r="C400" s="8">
        <v>1520</v>
      </c>
      <c r="D400" s="9">
        <v>260</v>
      </c>
      <c r="E400" s="8">
        <v>20</v>
      </c>
      <c r="F400" s="10">
        <v>30400</v>
      </c>
      <c r="G400" s="10">
        <v>2432</v>
      </c>
      <c r="H400" s="10">
        <v>27968</v>
      </c>
      <c r="I400" s="11">
        <v>15200</v>
      </c>
      <c r="J400" s="12">
        <v>41650</v>
      </c>
    </row>
    <row r="401" spans="1:10" ht="12.75" x14ac:dyDescent="0.2">
      <c r="A401" s="7" t="s">
        <v>152</v>
      </c>
      <c r="B401" s="7" t="s">
        <v>124</v>
      </c>
      <c r="C401" s="8">
        <v>711</v>
      </c>
      <c r="D401" s="9">
        <v>260</v>
      </c>
      <c r="E401" s="8">
        <v>15</v>
      </c>
      <c r="F401" s="10">
        <v>10665</v>
      </c>
      <c r="G401" s="10">
        <v>853.2</v>
      </c>
      <c r="H401" s="10">
        <v>9811.7999999999993</v>
      </c>
      <c r="I401" s="11">
        <v>7110</v>
      </c>
      <c r="J401" s="12">
        <v>41651</v>
      </c>
    </row>
    <row r="402" spans="1:10" ht="12.75" x14ac:dyDescent="0.2">
      <c r="A402" s="7" t="s">
        <v>126</v>
      </c>
      <c r="B402" s="7" t="s">
        <v>124</v>
      </c>
      <c r="C402" s="8">
        <v>1375</v>
      </c>
      <c r="D402" s="9">
        <v>260</v>
      </c>
      <c r="E402" s="8">
        <v>12</v>
      </c>
      <c r="F402" s="10">
        <v>16500</v>
      </c>
      <c r="G402" s="10">
        <v>1320</v>
      </c>
      <c r="H402" s="10">
        <v>15180</v>
      </c>
      <c r="I402" s="11">
        <v>4125</v>
      </c>
      <c r="J402" s="12">
        <v>41286</v>
      </c>
    </row>
    <row r="403" spans="1:10" ht="12.75" x14ac:dyDescent="0.2">
      <c r="A403" s="7" t="s">
        <v>107</v>
      </c>
      <c r="B403" s="7" t="s">
        <v>124</v>
      </c>
      <c r="C403" s="8">
        <v>635</v>
      </c>
      <c r="D403" s="9">
        <v>260</v>
      </c>
      <c r="E403" s="8">
        <v>300</v>
      </c>
      <c r="F403" s="10">
        <v>190500</v>
      </c>
      <c r="G403" s="10">
        <v>15240</v>
      </c>
      <c r="H403" s="10">
        <v>175260</v>
      </c>
      <c r="I403" s="11">
        <v>158750</v>
      </c>
      <c r="J403" s="12">
        <v>41651</v>
      </c>
    </row>
    <row r="404" spans="1:10" ht="12.75" x14ac:dyDescent="0.2">
      <c r="A404" s="7" t="s">
        <v>105</v>
      </c>
      <c r="B404" s="7" t="s">
        <v>124</v>
      </c>
      <c r="C404" s="8">
        <v>436.5</v>
      </c>
      <c r="D404" s="9">
        <v>250</v>
      </c>
      <c r="E404" s="8">
        <v>20</v>
      </c>
      <c r="F404" s="10">
        <v>8730</v>
      </c>
      <c r="G404" s="10">
        <v>698.4</v>
      </c>
      <c r="H404" s="10">
        <v>8031.6</v>
      </c>
      <c r="I404" s="11">
        <v>4365</v>
      </c>
      <c r="J404" s="12">
        <v>41646</v>
      </c>
    </row>
    <row r="405" spans="1:10" ht="12.75" x14ac:dyDescent="0.2">
      <c r="A405" s="7" t="s">
        <v>153</v>
      </c>
      <c r="B405" s="7" t="s">
        <v>124</v>
      </c>
      <c r="C405" s="8">
        <v>1094</v>
      </c>
      <c r="D405" s="9">
        <v>3</v>
      </c>
      <c r="E405" s="8">
        <v>300</v>
      </c>
      <c r="F405" s="10">
        <v>328200</v>
      </c>
      <c r="G405" s="10">
        <v>29538</v>
      </c>
      <c r="H405" s="10">
        <v>298662</v>
      </c>
      <c r="I405" s="11">
        <v>273500</v>
      </c>
      <c r="J405" s="12">
        <v>41645</v>
      </c>
    </row>
    <row r="406" spans="1:10" ht="12.75" x14ac:dyDescent="0.2">
      <c r="A406" s="7" t="s">
        <v>133</v>
      </c>
      <c r="B406" s="7" t="s">
        <v>124</v>
      </c>
      <c r="C406" s="8">
        <v>367</v>
      </c>
      <c r="D406" s="9">
        <v>3</v>
      </c>
      <c r="E406" s="8">
        <v>12</v>
      </c>
      <c r="F406" s="10">
        <v>4404</v>
      </c>
      <c r="G406" s="10">
        <v>396.36</v>
      </c>
      <c r="H406" s="10">
        <v>4007.64</v>
      </c>
      <c r="I406" s="11">
        <v>1101</v>
      </c>
      <c r="J406" s="12">
        <v>41284</v>
      </c>
    </row>
    <row r="407" spans="1:10" ht="12.75" x14ac:dyDescent="0.2">
      <c r="A407" s="7" t="s">
        <v>150</v>
      </c>
      <c r="B407" s="7" t="s">
        <v>124</v>
      </c>
      <c r="C407" s="8">
        <v>3802.5</v>
      </c>
      <c r="D407" s="9">
        <v>5</v>
      </c>
      <c r="E407" s="8">
        <v>300</v>
      </c>
      <c r="F407" s="10">
        <v>1140750</v>
      </c>
      <c r="G407" s="10">
        <v>102667.5</v>
      </c>
      <c r="H407" s="10">
        <v>1038082.5</v>
      </c>
      <c r="I407" s="11">
        <v>950625</v>
      </c>
      <c r="J407" s="12">
        <v>41643</v>
      </c>
    </row>
    <row r="408" spans="1:10" ht="12.75" x14ac:dyDescent="0.2">
      <c r="A408" s="7" t="s">
        <v>19</v>
      </c>
      <c r="B408" s="7" t="s">
        <v>124</v>
      </c>
      <c r="C408" s="8">
        <v>1666</v>
      </c>
      <c r="D408" s="9">
        <v>5</v>
      </c>
      <c r="E408" s="8">
        <v>350</v>
      </c>
      <c r="F408" s="10">
        <v>583100</v>
      </c>
      <c r="G408" s="10">
        <v>52479</v>
      </c>
      <c r="H408" s="10">
        <v>530621</v>
      </c>
      <c r="I408" s="11">
        <v>433160</v>
      </c>
      <c r="J408" s="12">
        <v>41644</v>
      </c>
    </row>
    <row r="409" spans="1:10" ht="12.75" x14ac:dyDescent="0.2">
      <c r="A409" s="7" t="s">
        <v>143</v>
      </c>
      <c r="B409" s="7" t="s">
        <v>124</v>
      </c>
      <c r="C409" s="8">
        <v>322</v>
      </c>
      <c r="D409" s="9">
        <v>5</v>
      </c>
      <c r="E409" s="8">
        <v>300</v>
      </c>
      <c r="F409" s="10">
        <v>96600</v>
      </c>
      <c r="G409" s="10">
        <v>8694</v>
      </c>
      <c r="H409" s="10">
        <v>87906</v>
      </c>
      <c r="I409" s="11">
        <v>80500</v>
      </c>
      <c r="J409" s="12">
        <v>41283</v>
      </c>
    </row>
    <row r="410" spans="1:10" ht="12.75" x14ac:dyDescent="0.2">
      <c r="A410" s="7" t="s">
        <v>18</v>
      </c>
      <c r="B410" s="7" t="s">
        <v>124</v>
      </c>
      <c r="C410" s="8">
        <v>2321</v>
      </c>
      <c r="D410" s="9">
        <v>5</v>
      </c>
      <c r="E410" s="8">
        <v>12</v>
      </c>
      <c r="F410" s="10">
        <v>27852</v>
      </c>
      <c r="G410" s="10">
        <v>2506.6799999999998</v>
      </c>
      <c r="H410" s="10">
        <v>25345.32</v>
      </c>
      <c r="I410" s="11">
        <v>6963</v>
      </c>
      <c r="J410" s="12">
        <v>41650</v>
      </c>
    </row>
    <row r="411" spans="1:10" ht="12.75" x14ac:dyDescent="0.2">
      <c r="A411" s="7" t="s">
        <v>111</v>
      </c>
      <c r="B411" s="7" t="s">
        <v>124</v>
      </c>
      <c r="C411" s="8">
        <v>1857</v>
      </c>
      <c r="D411" s="9">
        <v>5</v>
      </c>
      <c r="E411" s="8">
        <v>125</v>
      </c>
      <c r="F411" s="10">
        <v>232125</v>
      </c>
      <c r="G411" s="10">
        <v>20891.25</v>
      </c>
      <c r="H411" s="10">
        <v>211233.75</v>
      </c>
      <c r="I411" s="11">
        <v>222840</v>
      </c>
      <c r="J411" s="12">
        <v>41285</v>
      </c>
    </row>
    <row r="412" spans="1:10" ht="12.75" x14ac:dyDescent="0.2">
      <c r="A412" s="7" t="s">
        <v>69</v>
      </c>
      <c r="B412" s="7" t="s">
        <v>124</v>
      </c>
      <c r="C412" s="8">
        <v>1611</v>
      </c>
      <c r="D412" s="9">
        <v>5</v>
      </c>
      <c r="E412" s="8">
        <v>7</v>
      </c>
      <c r="F412" s="10">
        <v>11277</v>
      </c>
      <c r="G412" s="10">
        <v>1014.93</v>
      </c>
      <c r="H412" s="10">
        <v>10262.07</v>
      </c>
      <c r="I412" s="11">
        <v>8055</v>
      </c>
      <c r="J412" s="12">
        <v>41286</v>
      </c>
    </row>
    <row r="413" spans="1:10" ht="12.75" x14ac:dyDescent="0.2">
      <c r="A413" s="7" t="s">
        <v>70</v>
      </c>
      <c r="B413" s="7" t="s">
        <v>124</v>
      </c>
      <c r="C413" s="8">
        <v>2797</v>
      </c>
      <c r="D413" s="9">
        <v>5</v>
      </c>
      <c r="E413" s="8">
        <v>125</v>
      </c>
      <c r="F413" s="10">
        <v>349625</v>
      </c>
      <c r="G413" s="10">
        <v>31466.25</v>
      </c>
      <c r="H413" s="10">
        <v>318158.75</v>
      </c>
      <c r="I413" s="11">
        <v>335640</v>
      </c>
      <c r="J413" s="12">
        <v>41651</v>
      </c>
    </row>
    <row r="414" spans="1:10" ht="12.75" x14ac:dyDescent="0.2">
      <c r="A414" s="7" t="s">
        <v>117</v>
      </c>
      <c r="B414" s="7" t="s">
        <v>124</v>
      </c>
      <c r="C414" s="8">
        <v>334</v>
      </c>
      <c r="D414" s="9">
        <v>5</v>
      </c>
      <c r="E414" s="8">
        <v>300</v>
      </c>
      <c r="F414" s="10">
        <v>100200</v>
      </c>
      <c r="G414" s="10">
        <v>9018</v>
      </c>
      <c r="H414" s="10">
        <v>91182</v>
      </c>
      <c r="I414" s="11">
        <v>83500</v>
      </c>
      <c r="J414" s="12">
        <v>41286</v>
      </c>
    </row>
    <row r="415" spans="1:10" ht="12.75" x14ac:dyDescent="0.2">
      <c r="A415" s="7" t="s">
        <v>33</v>
      </c>
      <c r="B415" s="7" t="s">
        <v>124</v>
      </c>
      <c r="C415" s="8">
        <v>2565</v>
      </c>
      <c r="D415" s="9">
        <v>10</v>
      </c>
      <c r="E415" s="8">
        <v>300</v>
      </c>
      <c r="F415" s="10">
        <v>769500</v>
      </c>
      <c r="G415" s="10">
        <v>69255</v>
      </c>
      <c r="H415" s="10">
        <v>700245</v>
      </c>
      <c r="I415" s="11">
        <v>641250</v>
      </c>
      <c r="J415" s="12">
        <v>41640</v>
      </c>
    </row>
    <row r="416" spans="1:10" ht="12.75" x14ac:dyDescent="0.2">
      <c r="A416" s="7" t="s">
        <v>31</v>
      </c>
      <c r="B416" s="7" t="s">
        <v>124</v>
      </c>
      <c r="C416" s="8">
        <v>2417</v>
      </c>
      <c r="D416" s="9">
        <v>10</v>
      </c>
      <c r="E416" s="8">
        <v>350</v>
      </c>
      <c r="F416" s="10">
        <v>845950</v>
      </c>
      <c r="G416" s="10">
        <v>76135.5</v>
      </c>
      <c r="H416" s="10">
        <v>769814.5</v>
      </c>
      <c r="I416" s="11">
        <v>628420</v>
      </c>
      <c r="J416" s="12">
        <v>41640</v>
      </c>
    </row>
    <row r="417" spans="1:10" ht="12.75" x14ac:dyDescent="0.2">
      <c r="A417" s="7" t="s">
        <v>71</v>
      </c>
      <c r="B417" s="7" t="s">
        <v>124</v>
      </c>
      <c r="C417" s="8">
        <v>3675</v>
      </c>
      <c r="D417" s="9">
        <v>10</v>
      </c>
      <c r="E417" s="8">
        <v>15</v>
      </c>
      <c r="F417" s="10">
        <v>55125</v>
      </c>
      <c r="G417" s="10">
        <v>4961.25</v>
      </c>
      <c r="H417" s="10">
        <v>50163.75</v>
      </c>
      <c r="I417" s="11">
        <v>36750</v>
      </c>
      <c r="J417" s="12">
        <v>41643</v>
      </c>
    </row>
    <row r="418" spans="1:10" ht="12.75" x14ac:dyDescent="0.2">
      <c r="A418" s="7" t="s">
        <v>95</v>
      </c>
      <c r="B418" s="7" t="s">
        <v>124</v>
      </c>
      <c r="C418" s="8">
        <v>1094</v>
      </c>
      <c r="D418" s="9">
        <v>10</v>
      </c>
      <c r="E418" s="8">
        <v>300</v>
      </c>
      <c r="F418" s="10">
        <v>328200</v>
      </c>
      <c r="G418" s="10">
        <v>29538</v>
      </c>
      <c r="H418" s="10">
        <v>298662</v>
      </c>
      <c r="I418" s="11">
        <v>273500</v>
      </c>
      <c r="J418" s="12">
        <v>41645</v>
      </c>
    </row>
    <row r="419" spans="1:10" ht="12.75" x14ac:dyDescent="0.2">
      <c r="A419" s="7" t="s">
        <v>32</v>
      </c>
      <c r="B419" s="7" t="s">
        <v>124</v>
      </c>
      <c r="C419" s="8">
        <v>1227</v>
      </c>
      <c r="D419" s="9">
        <v>10</v>
      </c>
      <c r="E419" s="8">
        <v>15</v>
      </c>
      <c r="F419" s="10">
        <v>18405</v>
      </c>
      <c r="G419" s="10">
        <v>1656.45</v>
      </c>
      <c r="H419" s="10">
        <v>16748.55</v>
      </c>
      <c r="I419" s="11">
        <v>12270</v>
      </c>
      <c r="J419" s="12">
        <v>41649</v>
      </c>
    </row>
    <row r="420" spans="1:10" ht="12.75" x14ac:dyDescent="0.2">
      <c r="A420" s="7" t="s">
        <v>97</v>
      </c>
      <c r="B420" s="7" t="s">
        <v>124</v>
      </c>
      <c r="C420" s="8">
        <v>367</v>
      </c>
      <c r="D420" s="9">
        <v>10</v>
      </c>
      <c r="E420" s="8">
        <v>12</v>
      </c>
      <c r="F420" s="10">
        <v>4404</v>
      </c>
      <c r="G420" s="10">
        <v>396.36</v>
      </c>
      <c r="H420" s="10">
        <v>4007.64</v>
      </c>
      <c r="I420" s="11">
        <v>1101</v>
      </c>
      <c r="J420" s="12">
        <v>41284</v>
      </c>
    </row>
    <row r="421" spans="1:10" ht="12.75" x14ac:dyDescent="0.2">
      <c r="A421" s="7" t="s">
        <v>91</v>
      </c>
      <c r="B421" s="7" t="s">
        <v>124</v>
      </c>
      <c r="C421" s="8">
        <v>1324</v>
      </c>
      <c r="D421" s="9">
        <v>10</v>
      </c>
      <c r="E421" s="8">
        <v>300</v>
      </c>
      <c r="F421" s="10">
        <v>397200</v>
      </c>
      <c r="G421" s="10">
        <v>35748</v>
      </c>
      <c r="H421" s="10">
        <v>361452</v>
      </c>
      <c r="I421" s="11">
        <v>331000</v>
      </c>
      <c r="J421" s="12">
        <v>41650</v>
      </c>
    </row>
    <row r="422" spans="1:10" ht="12.75" x14ac:dyDescent="0.2">
      <c r="A422" s="7" t="s">
        <v>30</v>
      </c>
      <c r="B422" s="7" t="s">
        <v>124</v>
      </c>
      <c r="C422" s="8">
        <v>1775</v>
      </c>
      <c r="D422" s="9">
        <v>10</v>
      </c>
      <c r="E422" s="8">
        <v>12</v>
      </c>
      <c r="F422" s="10">
        <v>21300</v>
      </c>
      <c r="G422" s="10">
        <v>1917</v>
      </c>
      <c r="H422" s="10">
        <v>19383</v>
      </c>
      <c r="I422" s="11">
        <v>5325</v>
      </c>
      <c r="J422" s="12">
        <v>41285</v>
      </c>
    </row>
    <row r="423" spans="1:10" ht="12.75" x14ac:dyDescent="0.2">
      <c r="A423" s="7" t="s">
        <v>72</v>
      </c>
      <c r="B423" s="7" t="s">
        <v>124</v>
      </c>
      <c r="C423" s="8">
        <v>2797</v>
      </c>
      <c r="D423" s="9">
        <v>10</v>
      </c>
      <c r="E423" s="8">
        <v>125</v>
      </c>
      <c r="F423" s="10">
        <v>349625</v>
      </c>
      <c r="G423" s="10">
        <v>31466.25</v>
      </c>
      <c r="H423" s="10">
        <v>318158.75</v>
      </c>
      <c r="I423" s="11">
        <v>335640</v>
      </c>
      <c r="J423" s="12">
        <v>41651</v>
      </c>
    </row>
    <row r="424" spans="1:10" ht="12.75" x14ac:dyDescent="0.2">
      <c r="A424" s="7" t="s">
        <v>130</v>
      </c>
      <c r="B424" s="7" t="s">
        <v>124</v>
      </c>
      <c r="C424" s="8">
        <v>245</v>
      </c>
      <c r="D424" s="9">
        <v>120</v>
      </c>
      <c r="E424" s="8">
        <v>15</v>
      </c>
      <c r="F424" s="10">
        <v>3675</v>
      </c>
      <c r="G424" s="10">
        <v>330.75</v>
      </c>
      <c r="H424" s="10">
        <v>3344.25</v>
      </c>
      <c r="I424" s="11">
        <v>2450</v>
      </c>
      <c r="J424" s="12">
        <v>41644</v>
      </c>
    </row>
    <row r="425" spans="1:10" ht="12.75" x14ac:dyDescent="0.2">
      <c r="A425" s="7" t="s">
        <v>154</v>
      </c>
      <c r="B425" s="7" t="s">
        <v>124</v>
      </c>
      <c r="C425" s="8">
        <v>3793.5</v>
      </c>
      <c r="D425" s="9">
        <v>120</v>
      </c>
      <c r="E425" s="8">
        <v>300</v>
      </c>
      <c r="F425" s="10">
        <v>1138050</v>
      </c>
      <c r="G425" s="10">
        <v>102424.5</v>
      </c>
      <c r="H425" s="10">
        <v>1035625.5</v>
      </c>
      <c r="I425" s="11">
        <v>948375</v>
      </c>
      <c r="J425" s="12">
        <v>41646</v>
      </c>
    </row>
    <row r="426" spans="1:10" ht="12.75" x14ac:dyDescent="0.2">
      <c r="A426" s="7" t="s">
        <v>40</v>
      </c>
      <c r="B426" s="7" t="s">
        <v>124</v>
      </c>
      <c r="C426" s="8">
        <v>1307</v>
      </c>
      <c r="D426" s="9">
        <v>120</v>
      </c>
      <c r="E426" s="8">
        <v>350</v>
      </c>
      <c r="F426" s="10">
        <v>457450</v>
      </c>
      <c r="G426" s="10">
        <v>41170.5</v>
      </c>
      <c r="H426" s="10">
        <v>416279.5</v>
      </c>
      <c r="I426" s="11">
        <v>339820</v>
      </c>
      <c r="J426" s="12">
        <v>41646</v>
      </c>
    </row>
    <row r="427" spans="1:10" ht="12.75" x14ac:dyDescent="0.2">
      <c r="A427" s="7" t="s">
        <v>42</v>
      </c>
      <c r="B427" s="7" t="s">
        <v>124</v>
      </c>
      <c r="C427" s="8">
        <v>567</v>
      </c>
      <c r="D427" s="9">
        <v>120</v>
      </c>
      <c r="E427" s="8">
        <v>125</v>
      </c>
      <c r="F427" s="10">
        <v>70875</v>
      </c>
      <c r="G427" s="10">
        <v>6378.75</v>
      </c>
      <c r="H427" s="10">
        <v>64496.25</v>
      </c>
      <c r="I427" s="11">
        <v>68040</v>
      </c>
      <c r="J427" s="12">
        <v>41648</v>
      </c>
    </row>
    <row r="428" spans="1:10" ht="12.75" x14ac:dyDescent="0.2">
      <c r="A428" s="7" t="s">
        <v>100</v>
      </c>
      <c r="B428" s="7" t="s">
        <v>124</v>
      </c>
      <c r="C428" s="8">
        <v>2110</v>
      </c>
      <c r="D428" s="9">
        <v>120</v>
      </c>
      <c r="E428" s="8">
        <v>125</v>
      </c>
      <c r="F428" s="10">
        <v>263750</v>
      </c>
      <c r="G428" s="10">
        <v>23737.5</v>
      </c>
      <c r="H428" s="10">
        <v>240012.5</v>
      </c>
      <c r="I428" s="11">
        <v>253200</v>
      </c>
      <c r="J428" s="12">
        <v>41648</v>
      </c>
    </row>
    <row r="429" spans="1:10" ht="12.75" x14ac:dyDescent="0.2">
      <c r="A429" s="7" t="s">
        <v>77</v>
      </c>
      <c r="B429" s="7" t="s">
        <v>124</v>
      </c>
      <c r="C429" s="8">
        <v>1269</v>
      </c>
      <c r="D429" s="9">
        <v>120</v>
      </c>
      <c r="E429" s="8">
        <v>350</v>
      </c>
      <c r="F429" s="10">
        <v>444150</v>
      </c>
      <c r="G429" s="10">
        <v>39973.5</v>
      </c>
      <c r="H429" s="10">
        <v>404176.5</v>
      </c>
      <c r="I429" s="11">
        <v>329940</v>
      </c>
      <c r="J429" s="12">
        <v>41649</v>
      </c>
    </row>
    <row r="430" spans="1:10" ht="12.75" x14ac:dyDescent="0.2">
      <c r="A430" s="7" t="s">
        <v>155</v>
      </c>
      <c r="B430" s="7" t="s">
        <v>124</v>
      </c>
      <c r="C430" s="8">
        <v>1956</v>
      </c>
      <c r="D430" s="9">
        <v>250</v>
      </c>
      <c r="E430" s="8">
        <v>12</v>
      </c>
      <c r="F430" s="10">
        <v>23472</v>
      </c>
      <c r="G430" s="10">
        <v>2112.48</v>
      </c>
      <c r="H430" s="10">
        <v>21359.52</v>
      </c>
      <c r="I430" s="11">
        <v>5868</v>
      </c>
      <c r="J430" s="12">
        <v>41640</v>
      </c>
    </row>
    <row r="431" spans="1:10" ht="12.75" x14ac:dyDescent="0.2">
      <c r="A431" s="7" t="s">
        <v>81</v>
      </c>
      <c r="B431" s="7" t="s">
        <v>124</v>
      </c>
      <c r="C431" s="8">
        <v>2659</v>
      </c>
      <c r="D431" s="9">
        <v>250</v>
      </c>
      <c r="E431" s="8">
        <v>300</v>
      </c>
      <c r="F431" s="10">
        <v>797700</v>
      </c>
      <c r="G431" s="10">
        <v>71793</v>
      </c>
      <c r="H431" s="10">
        <v>725907</v>
      </c>
      <c r="I431" s="11">
        <v>664750</v>
      </c>
      <c r="J431" s="12">
        <v>41641</v>
      </c>
    </row>
    <row r="432" spans="1:10" ht="12.75" x14ac:dyDescent="0.2">
      <c r="A432" s="7" t="s">
        <v>105</v>
      </c>
      <c r="B432" s="7" t="s">
        <v>124</v>
      </c>
      <c r="C432" s="8">
        <v>1351.5</v>
      </c>
      <c r="D432" s="9">
        <v>250</v>
      </c>
      <c r="E432" s="8">
        <v>350</v>
      </c>
      <c r="F432" s="10">
        <v>473025</v>
      </c>
      <c r="G432" s="10">
        <v>42572.25</v>
      </c>
      <c r="H432" s="10">
        <v>430452.75</v>
      </c>
      <c r="I432" s="11">
        <v>351390</v>
      </c>
      <c r="J432" s="12">
        <v>41643</v>
      </c>
    </row>
    <row r="433" spans="1:10" ht="12.75" x14ac:dyDescent="0.2">
      <c r="A433" s="7" t="s">
        <v>44</v>
      </c>
      <c r="B433" s="7" t="s">
        <v>124</v>
      </c>
      <c r="C433" s="8">
        <v>880</v>
      </c>
      <c r="D433" s="9">
        <v>250</v>
      </c>
      <c r="E433" s="8">
        <v>12</v>
      </c>
      <c r="F433" s="10">
        <v>10560</v>
      </c>
      <c r="G433" s="10">
        <v>950.4</v>
      </c>
      <c r="H433" s="10">
        <v>9609.6</v>
      </c>
      <c r="I433" s="11">
        <v>2640</v>
      </c>
      <c r="J433" s="12">
        <v>41644</v>
      </c>
    </row>
    <row r="434" spans="1:10" ht="12.75" x14ac:dyDescent="0.2">
      <c r="A434" s="7" t="s">
        <v>113</v>
      </c>
      <c r="B434" s="7" t="s">
        <v>124</v>
      </c>
      <c r="C434" s="8">
        <v>1867</v>
      </c>
      <c r="D434" s="9">
        <v>250</v>
      </c>
      <c r="E434" s="8">
        <v>300</v>
      </c>
      <c r="F434" s="10">
        <v>560100</v>
      </c>
      <c r="G434" s="10">
        <v>50409</v>
      </c>
      <c r="H434" s="10">
        <v>509691</v>
      </c>
      <c r="I434" s="11">
        <v>466750</v>
      </c>
      <c r="J434" s="12">
        <v>41648</v>
      </c>
    </row>
    <row r="435" spans="1:10" ht="12.75" x14ac:dyDescent="0.2">
      <c r="A435" s="7" t="s">
        <v>119</v>
      </c>
      <c r="B435" s="7" t="s">
        <v>124</v>
      </c>
      <c r="C435" s="8">
        <v>2234</v>
      </c>
      <c r="D435" s="9">
        <v>250</v>
      </c>
      <c r="E435" s="8">
        <v>12</v>
      </c>
      <c r="F435" s="10">
        <v>26808</v>
      </c>
      <c r="G435" s="10">
        <v>2412.7199999999998</v>
      </c>
      <c r="H435" s="10">
        <v>24395.279999999999</v>
      </c>
      <c r="I435" s="11">
        <v>6702</v>
      </c>
      <c r="J435" s="12">
        <v>41283</v>
      </c>
    </row>
    <row r="436" spans="1:10" ht="12.75" x14ac:dyDescent="0.2">
      <c r="A436" s="7" t="s">
        <v>45</v>
      </c>
      <c r="B436" s="7" t="s">
        <v>124</v>
      </c>
      <c r="C436" s="8">
        <v>1227</v>
      </c>
      <c r="D436" s="9">
        <v>250</v>
      </c>
      <c r="E436" s="8">
        <v>15</v>
      </c>
      <c r="F436" s="10">
        <v>18405</v>
      </c>
      <c r="G436" s="10">
        <v>1656.45</v>
      </c>
      <c r="H436" s="10">
        <v>16748.55</v>
      </c>
      <c r="I436" s="11">
        <v>12270</v>
      </c>
      <c r="J436" s="12">
        <v>41649</v>
      </c>
    </row>
    <row r="437" spans="1:10" ht="12.75" x14ac:dyDescent="0.2">
      <c r="A437" s="7" t="s">
        <v>103</v>
      </c>
      <c r="B437" s="7" t="s">
        <v>124</v>
      </c>
      <c r="C437" s="8">
        <v>877</v>
      </c>
      <c r="D437" s="9">
        <v>250</v>
      </c>
      <c r="E437" s="8">
        <v>125</v>
      </c>
      <c r="F437" s="10">
        <v>109625</v>
      </c>
      <c r="G437" s="10">
        <v>9866.25</v>
      </c>
      <c r="H437" s="10">
        <v>99758.75</v>
      </c>
      <c r="I437" s="11">
        <v>105240</v>
      </c>
      <c r="J437" s="12">
        <v>41650</v>
      </c>
    </row>
    <row r="438" spans="1:10" ht="12.75" x14ac:dyDescent="0.2">
      <c r="A438" s="7" t="s">
        <v>54</v>
      </c>
      <c r="B438" s="7" t="s">
        <v>124</v>
      </c>
      <c r="C438" s="8">
        <v>2071</v>
      </c>
      <c r="D438" s="9">
        <v>260</v>
      </c>
      <c r="E438" s="8">
        <v>350</v>
      </c>
      <c r="F438" s="10">
        <v>724850</v>
      </c>
      <c r="G438" s="10">
        <v>65236.5</v>
      </c>
      <c r="H438" s="10">
        <v>659613.5</v>
      </c>
      <c r="I438" s="11">
        <v>538460</v>
      </c>
      <c r="J438" s="12">
        <v>41648</v>
      </c>
    </row>
    <row r="439" spans="1:10" ht="12.75" x14ac:dyDescent="0.2">
      <c r="A439" s="7" t="s">
        <v>123</v>
      </c>
      <c r="B439" s="7" t="s">
        <v>124</v>
      </c>
      <c r="C439" s="8">
        <v>1269</v>
      </c>
      <c r="D439" s="9">
        <v>260</v>
      </c>
      <c r="E439" s="8">
        <v>350</v>
      </c>
      <c r="F439" s="10">
        <v>444150</v>
      </c>
      <c r="G439" s="10">
        <v>39973.5</v>
      </c>
      <c r="H439" s="10">
        <v>404176.5</v>
      </c>
      <c r="I439" s="11">
        <v>329940</v>
      </c>
      <c r="J439" s="12">
        <v>41649</v>
      </c>
    </row>
    <row r="440" spans="1:10" ht="12.75" x14ac:dyDescent="0.2">
      <c r="A440" s="7" t="s">
        <v>152</v>
      </c>
      <c r="B440" s="7" t="s">
        <v>124</v>
      </c>
      <c r="C440" s="8">
        <v>970</v>
      </c>
      <c r="D440" s="9">
        <v>260</v>
      </c>
      <c r="E440" s="8">
        <v>15</v>
      </c>
      <c r="F440" s="10">
        <v>14550</v>
      </c>
      <c r="G440" s="10">
        <v>1309.5</v>
      </c>
      <c r="H440" s="10">
        <v>13240.5</v>
      </c>
      <c r="I440" s="11">
        <v>9700</v>
      </c>
      <c r="J440" s="12">
        <v>41285</v>
      </c>
    </row>
    <row r="441" spans="1:10" ht="12.75" x14ac:dyDescent="0.2">
      <c r="A441" s="7" t="s">
        <v>121</v>
      </c>
      <c r="B441" s="7" t="s">
        <v>124</v>
      </c>
      <c r="C441" s="8">
        <v>1694</v>
      </c>
      <c r="D441" s="9">
        <v>260</v>
      </c>
      <c r="E441" s="8">
        <v>20</v>
      </c>
      <c r="F441" s="10">
        <v>33880</v>
      </c>
      <c r="G441" s="10">
        <v>3049.2</v>
      </c>
      <c r="H441" s="10">
        <v>30830.799999999999</v>
      </c>
      <c r="I441" s="11">
        <v>16940</v>
      </c>
      <c r="J441" s="12">
        <v>41650</v>
      </c>
    </row>
    <row r="442" spans="1:10" ht="12.75" x14ac:dyDescent="0.2">
      <c r="A442" s="7" t="s">
        <v>13</v>
      </c>
      <c r="B442" s="7" t="s">
        <v>124</v>
      </c>
      <c r="C442" s="8">
        <v>663</v>
      </c>
      <c r="D442" s="9">
        <v>3</v>
      </c>
      <c r="E442" s="8">
        <v>20</v>
      </c>
      <c r="F442" s="10">
        <v>13260</v>
      </c>
      <c r="G442" s="10">
        <v>1193.4000000000001</v>
      </c>
      <c r="H442" s="10">
        <v>12066.6</v>
      </c>
      <c r="I442" s="11">
        <v>6630</v>
      </c>
      <c r="J442" s="12">
        <v>41644</v>
      </c>
    </row>
    <row r="443" spans="1:10" ht="12.75" x14ac:dyDescent="0.2">
      <c r="A443" s="7" t="s">
        <v>11</v>
      </c>
      <c r="B443" s="7" t="s">
        <v>124</v>
      </c>
      <c r="C443" s="8">
        <v>819</v>
      </c>
      <c r="D443" s="9">
        <v>3</v>
      </c>
      <c r="E443" s="8">
        <v>7</v>
      </c>
      <c r="F443" s="10">
        <v>5733</v>
      </c>
      <c r="G443" s="10">
        <v>515.97</v>
      </c>
      <c r="H443" s="10">
        <v>5217.03</v>
      </c>
      <c r="I443" s="11">
        <v>4095</v>
      </c>
      <c r="J443" s="12">
        <v>41646</v>
      </c>
    </row>
    <row r="444" spans="1:10" ht="12.75" x14ac:dyDescent="0.2">
      <c r="A444" s="7" t="s">
        <v>65</v>
      </c>
      <c r="B444" s="7" t="s">
        <v>124</v>
      </c>
      <c r="C444" s="8">
        <v>1580</v>
      </c>
      <c r="D444" s="9">
        <v>3</v>
      </c>
      <c r="E444" s="8">
        <v>12</v>
      </c>
      <c r="F444" s="10">
        <v>18960</v>
      </c>
      <c r="G444" s="10">
        <v>1706.4</v>
      </c>
      <c r="H444" s="10">
        <v>17253.599999999999</v>
      </c>
      <c r="I444" s="11">
        <v>4740</v>
      </c>
      <c r="J444" s="12">
        <v>41648</v>
      </c>
    </row>
    <row r="445" spans="1:10" ht="12.75" x14ac:dyDescent="0.2">
      <c r="A445" s="7" t="s">
        <v>60</v>
      </c>
      <c r="B445" s="7" t="s">
        <v>124</v>
      </c>
      <c r="C445" s="8">
        <v>521</v>
      </c>
      <c r="D445" s="9">
        <v>3</v>
      </c>
      <c r="E445" s="8">
        <v>7</v>
      </c>
      <c r="F445" s="10">
        <v>3647</v>
      </c>
      <c r="G445" s="10">
        <v>328.23</v>
      </c>
      <c r="H445" s="10">
        <v>3318.77</v>
      </c>
      <c r="I445" s="11">
        <v>2605</v>
      </c>
      <c r="J445" s="12">
        <v>41651</v>
      </c>
    </row>
    <row r="446" spans="1:10" ht="12.75" x14ac:dyDescent="0.2">
      <c r="A446" s="7" t="s">
        <v>34</v>
      </c>
      <c r="B446" s="7" t="s">
        <v>124</v>
      </c>
      <c r="C446" s="8">
        <v>973</v>
      </c>
      <c r="D446" s="9">
        <v>10</v>
      </c>
      <c r="E446" s="8">
        <v>20</v>
      </c>
      <c r="F446" s="10">
        <v>19460</v>
      </c>
      <c r="G446" s="10">
        <v>1751.4</v>
      </c>
      <c r="H446" s="10">
        <v>17708.599999999999</v>
      </c>
      <c r="I446" s="11">
        <v>9730</v>
      </c>
      <c r="J446" s="12">
        <v>41642</v>
      </c>
    </row>
    <row r="447" spans="1:10" ht="12.75" x14ac:dyDescent="0.2">
      <c r="A447" s="7" t="s">
        <v>31</v>
      </c>
      <c r="B447" s="7" t="s">
        <v>124</v>
      </c>
      <c r="C447" s="8">
        <v>1038</v>
      </c>
      <c r="D447" s="9">
        <v>10</v>
      </c>
      <c r="E447" s="8">
        <v>20</v>
      </c>
      <c r="F447" s="10">
        <v>20760</v>
      </c>
      <c r="G447" s="10">
        <v>1868.4</v>
      </c>
      <c r="H447" s="10">
        <v>18891.599999999999</v>
      </c>
      <c r="I447" s="11">
        <v>10380</v>
      </c>
      <c r="J447" s="12">
        <v>41645</v>
      </c>
    </row>
    <row r="448" spans="1:10" ht="12.75" x14ac:dyDescent="0.2">
      <c r="A448" s="7" t="s">
        <v>29</v>
      </c>
      <c r="B448" s="7" t="s">
        <v>124</v>
      </c>
      <c r="C448" s="8">
        <v>360</v>
      </c>
      <c r="D448" s="9">
        <v>10</v>
      </c>
      <c r="E448" s="8">
        <v>7</v>
      </c>
      <c r="F448" s="10">
        <v>2520</v>
      </c>
      <c r="G448" s="10">
        <v>226.8</v>
      </c>
      <c r="H448" s="10">
        <v>2293.1999999999998</v>
      </c>
      <c r="I448" s="11">
        <v>1800</v>
      </c>
      <c r="J448" s="12">
        <v>41649</v>
      </c>
    </row>
    <row r="449" spans="1:10" ht="12.75" x14ac:dyDescent="0.2">
      <c r="A449" s="7" t="s">
        <v>101</v>
      </c>
      <c r="B449" s="7" t="s">
        <v>124</v>
      </c>
      <c r="C449" s="8">
        <v>1967</v>
      </c>
      <c r="D449" s="9">
        <v>120</v>
      </c>
      <c r="E449" s="8">
        <v>12</v>
      </c>
      <c r="F449" s="10">
        <v>23604</v>
      </c>
      <c r="G449" s="10">
        <v>2124.36</v>
      </c>
      <c r="H449" s="10">
        <v>21479.64</v>
      </c>
      <c r="I449" s="11">
        <v>5901</v>
      </c>
      <c r="J449" s="12">
        <v>41642</v>
      </c>
    </row>
    <row r="450" spans="1:10" ht="12.75" x14ac:dyDescent="0.2">
      <c r="A450" s="7" t="s">
        <v>130</v>
      </c>
      <c r="B450" s="7" t="s">
        <v>124</v>
      </c>
      <c r="C450" s="8">
        <v>2628</v>
      </c>
      <c r="D450" s="9">
        <v>120</v>
      </c>
      <c r="E450" s="8">
        <v>15</v>
      </c>
      <c r="F450" s="10">
        <v>39420</v>
      </c>
      <c r="G450" s="10">
        <v>3547.8</v>
      </c>
      <c r="H450" s="10">
        <v>35872.199999999997</v>
      </c>
      <c r="I450" s="11">
        <v>26280</v>
      </c>
      <c r="J450" s="12">
        <v>41643</v>
      </c>
    </row>
    <row r="451" spans="1:10" ht="12.75" x14ac:dyDescent="0.2">
      <c r="A451" s="7" t="s">
        <v>78</v>
      </c>
      <c r="B451" s="7" t="s">
        <v>124</v>
      </c>
      <c r="C451" s="8">
        <v>360</v>
      </c>
      <c r="D451" s="9">
        <v>250</v>
      </c>
      <c r="E451" s="8">
        <v>7</v>
      </c>
      <c r="F451" s="10">
        <v>2520</v>
      </c>
      <c r="G451" s="10">
        <v>226.8</v>
      </c>
      <c r="H451" s="10">
        <v>2293.1999999999998</v>
      </c>
      <c r="I451" s="11">
        <v>1800</v>
      </c>
      <c r="J451" s="12">
        <v>41649</v>
      </c>
    </row>
    <row r="452" spans="1:10" ht="12.75" x14ac:dyDescent="0.2">
      <c r="A452" s="7" t="s">
        <v>47</v>
      </c>
      <c r="B452" s="7" t="s">
        <v>124</v>
      </c>
      <c r="C452" s="8">
        <v>2682</v>
      </c>
      <c r="D452" s="9">
        <v>250</v>
      </c>
      <c r="E452" s="8">
        <v>20</v>
      </c>
      <c r="F452" s="10">
        <v>53640</v>
      </c>
      <c r="G452" s="10">
        <v>4827.6000000000004</v>
      </c>
      <c r="H452" s="10">
        <v>48812.4</v>
      </c>
      <c r="I452" s="11">
        <v>26820</v>
      </c>
      <c r="J452" s="12">
        <v>41285</v>
      </c>
    </row>
    <row r="453" spans="1:10" ht="12.75" x14ac:dyDescent="0.2">
      <c r="A453" s="7" t="s">
        <v>83</v>
      </c>
      <c r="B453" s="7" t="s">
        <v>124</v>
      </c>
      <c r="C453" s="8">
        <v>521</v>
      </c>
      <c r="D453" s="9">
        <v>250</v>
      </c>
      <c r="E453" s="8">
        <v>7</v>
      </c>
      <c r="F453" s="10">
        <v>3647</v>
      </c>
      <c r="G453" s="10">
        <v>328.23</v>
      </c>
      <c r="H453" s="10">
        <v>3318.77</v>
      </c>
      <c r="I453" s="11">
        <v>2605</v>
      </c>
      <c r="J453" s="12">
        <v>41651</v>
      </c>
    </row>
    <row r="454" spans="1:10" ht="12.75" x14ac:dyDescent="0.2">
      <c r="A454" s="7" t="s">
        <v>121</v>
      </c>
      <c r="B454" s="7" t="s">
        <v>124</v>
      </c>
      <c r="C454" s="8">
        <v>1038</v>
      </c>
      <c r="D454" s="9">
        <v>260</v>
      </c>
      <c r="E454" s="8">
        <v>20</v>
      </c>
      <c r="F454" s="10">
        <v>20760</v>
      </c>
      <c r="G454" s="10">
        <v>1868.4</v>
      </c>
      <c r="H454" s="10">
        <v>18891.599999999999</v>
      </c>
      <c r="I454" s="11">
        <v>10380</v>
      </c>
      <c r="J454" s="12">
        <v>41645</v>
      </c>
    </row>
    <row r="455" spans="1:10" ht="12.75" x14ac:dyDescent="0.2">
      <c r="A455" s="7" t="s">
        <v>156</v>
      </c>
      <c r="B455" s="7" t="s">
        <v>124</v>
      </c>
      <c r="C455" s="8">
        <v>1630.5</v>
      </c>
      <c r="D455" s="9">
        <v>260</v>
      </c>
      <c r="E455" s="8">
        <v>15</v>
      </c>
      <c r="F455" s="10">
        <v>24457.5</v>
      </c>
      <c r="G455" s="10">
        <v>2201.1799999999998</v>
      </c>
      <c r="H455" s="10">
        <v>22256.33</v>
      </c>
      <c r="I455" s="11">
        <v>16305</v>
      </c>
      <c r="J455" s="12">
        <v>41646</v>
      </c>
    </row>
    <row r="456" spans="1:10" ht="12.75" x14ac:dyDescent="0.2">
      <c r="A456" s="7" t="s">
        <v>157</v>
      </c>
      <c r="B456" s="7" t="s">
        <v>124</v>
      </c>
      <c r="C456" s="8">
        <v>306</v>
      </c>
      <c r="D456" s="9">
        <v>260</v>
      </c>
      <c r="E456" s="8">
        <v>12</v>
      </c>
      <c r="F456" s="10">
        <v>3672</v>
      </c>
      <c r="G456" s="10">
        <v>330.48</v>
      </c>
      <c r="H456" s="10">
        <v>3341.52</v>
      </c>
      <c r="I456" s="8">
        <v>918</v>
      </c>
      <c r="J456" s="12">
        <v>41286</v>
      </c>
    </row>
    <row r="457" spans="1:10" ht="12.75" x14ac:dyDescent="0.2">
      <c r="A457" s="7" t="s">
        <v>59</v>
      </c>
      <c r="B457" s="7" t="s">
        <v>158</v>
      </c>
      <c r="C457" s="8">
        <v>386</v>
      </c>
      <c r="D457" s="9">
        <v>3</v>
      </c>
      <c r="E457" s="8">
        <v>12</v>
      </c>
      <c r="F457" s="10">
        <v>4632</v>
      </c>
      <c r="G457" s="10">
        <v>463.2</v>
      </c>
      <c r="H457" s="10">
        <v>4168.8</v>
      </c>
      <c r="I457" s="11">
        <v>1158</v>
      </c>
      <c r="J457" s="12">
        <v>41284</v>
      </c>
    </row>
    <row r="458" spans="1:10" ht="12.75" x14ac:dyDescent="0.2">
      <c r="A458" s="7" t="s">
        <v>88</v>
      </c>
      <c r="B458" s="7" t="s">
        <v>158</v>
      </c>
      <c r="C458" s="8">
        <v>2328</v>
      </c>
      <c r="D458" s="9">
        <v>5</v>
      </c>
      <c r="E458" s="8">
        <v>7</v>
      </c>
      <c r="F458" s="10">
        <v>16296</v>
      </c>
      <c r="G458" s="10">
        <v>1629.6</v>
      </c>
      <c r="H458" s="10">
        <v>14666.4</v>
      </c>
      <c r="I458" s="11">
        <v>11640</v>
      </c>
      <c r="J458" s="12">
        <v>41648</v>
      </c>
    </row>
    <row r="459" spans="1:10" ht="12.75" x14ac:dyDescent="0.2">
      <c r="A459" s="7" t="s">
        <v>35</v>
      </c>
      <c r="B459" s="7" t="s">
        <v>158</v>
      </c>
      <c r="C459" s="8">
        <v>386</v>
      </c>
      <c r="D459" s="9">
        <v>10</v>
      </c>
      <c r="E459" s="8">
        <v>12</v>
      </c>
      <c r="F459" s="10">
        <v>4632</v>
      </c>
      <c r="G459" s="10">
        <v>463.2</v>
      </c>
      <c r="H459" s="10">
        <v>4168.8</v>
      </c>
      <c r="I459" s="11">
        <v>1158</v>
      </c>
      <c r="J459" s="12">
        <v>41284</v>
      </c>
    </row>
    <row r="460" spans="1:10" ht="12.75" x14ac:dyDescent="0.2">
      <c r="A460" s="7" t="s">
        <v>63</v>
      </c>
      <c r="B460" s="7" t="s">
        <v>158</v>
      </c>
      <c r="C460" s="8">
        <v>3445.5</v>
      </c>
      <c r="D460" s="9">
        <v>3</v>
      </c>
      <c r="E460" s="8">
        <v>125</v>
      </c>
      <c r="F460" s="10">
        <v>430687.5</v>
      </c>
      <c r="G460" s="10">
        <v>43068.75</v>
      </c>
      <c r="H460" s="10">
        <v>387618.75</v>
      </c>
      <c r="I460" s="11">
        <v>413460</v>
      </c>
      <c r="J460" s="12">
        <v>41643</v>
      </c>
    </row>
    <row r="461" spans="1:10" ht="12.75" x14ac:dyDescent="0.2">
      <c r="A461" s="7" t="s">
        <v>109</v>
      </c>
      <c r="B461" s="7" t="s">
        <v>158</v>
      </c>
      <c r="C461" s="8">
        <v>1482</v>
      </c>
      <c r="D461" s="9">
        <v>3</v>
      </c>
      <c r="E461" s="8">
        <v>125</v>
      </c>
      <c r="F461" s="10">
        <v>185250</v>
      </c>
      <c r="G461" s="10">
        <v>18525</v>
      </c>
      <c r="H461" s="10">
        <v>166725</v>
      </c>
      <c r="I461" s="11">
        <v>177840</v>
      </c>
      <c r="J461" s="12">
        <v>41286</v>
      </c>
    </row>
    <row r="462" spans="1:10" ht="12.75" x14ac:dyDescent="0.2">
      <c r="A462" s="7" t="s">
        <v>88</v>
      </c>
      <c r="B462" s="7" t="s">
        <v>158</v>
      </c>
      <c r="C462" s="8">
        <v>2313</v>
      </c>
      <c r="D462" s="9">
        <v>5</v>
      </c>
      <c r="E462" s="8">
        <v>350</v>
      </c>
      <c r="F462" s="10">
        <v>809550</v>
      </c>
      <c r="G462" s="10">
        <v>80955</v>
      </c>
      <c r="H462" s="10">
        <v>728595</v>
      </c>
      <c r="I462" s="11">
        <v>601380</v>
      </c>
      <c r="J462" s="12">
        <v>41644</v>
      </c>
    </row>
    <row r="463" spans="1:10" ht="12.75" x14ac:dyDescent="0.2">
      <c r="A463" s="7" t="s">
        <v>70</v>
      </c>
      <c r="B463" s="7" t="s">
        <v>158</v>
      </c>
      <c r="C463" s="8">
        <v>1804</v>
      </c>
      <c r="D463" s="9">
        <v>5</v>
      </c>
      <c r="E463" s="8">
        <v>125</v>
      </c>
      <c r="F463" s="10">
        <v>225500</v>
      </c>
      <c r="G463" s="10">
        <v>22550</v>
      </c>
      <c r="H463" s="10">
        <v>202950</v>
      </c>
      <c r="I463" s="11">
        <v>216480</v>
      </c>
      <c r="J463" s="12">
        <v>41285</v>
      </c>
    </row>
    <row r="464" spans="1:10" ht="12.75" x14ac:dyDescent="0.2">
      <c r="A464" s="7" t="s">
        <v>149</v>
      </c>
      <c r="B464" s="7" t="s">
        <v>158</v>
      </c>
      <c r="C464" s="8">
        <v>2072</v>
      </c>
      <c r="D464" s="9">
        <v>5</v>
      </c>
      <c r="E464" s="8">
        <v>15</v>
      </c>
      <c r="F464" s="10">
        <v>31080</v>
      </c>
      <c r="G464" s="10">
        <v>3108</v>
      </c>
      <c r="H464" s="10">
        <v>27972</v>
      </c>
      <c r="I464" s="11">
        <v>20720</v>
      </c>
      <c r="J464" s="12">
        <v>41651</v>
      </c>
    </row>
    <row r="465" spans="1:10" ht="12.75" x14ac:dyDescent="0.2">
      <c r="A465" s="7" t="s">
        <v>56</v>
      </c>
      <c r="B465" s="7" t="s">
        <v>158</v>
      </c>
      <c r="C465" s="8">
        <v>1954</v>
      </c>
      <c r="D465" s="9">
        <v>10</v>
      </c>
      <c r="E465" s="8">
        <v>20</v>
      </c>
      <c r="F465" s="10">
        <v>39080</v>
      </c>
      <c r="G465" s="10">
        <v>3908</v>
      </c>
      <c r="H465" s="10">
        <v>35172</v>
      </c>
      <c r="I465" s="11">
        <v>19540</v>
      </c>
      <c r="J465" s="12">
        <v>41642</v>
      </c>
    </row>
    <row r="466" spans="1:10" ht="12.75" x14ac:dyDescent="0.2">
      <c r="A466" s="7" t="s">
        <v>33</v>
      </c>
      <c r="B466" s="7" t="s">
        <v>158</v>
      </c>
      <c r="C466" s="8">
        <v>591</v>
      </c>
      <c r="D466" s="9">
        <v>10</v>
      </c>
      <c r="E466" s="8">
        <v>300</v>
      </c>
      <c r="F466" s="10">
        <v>177300</v>
      </c>
      <c r="G466" s="10">
        <v>17730</v>
      </c>
      <c r="H466" s="10">
        <v>159570</v>
      </c>
      <c r="I466" s="11">
        <v>147750</v>
      </c>
      <c r="J466" s="12">
        <v>41644</v>
      </c>
    </row>
    <row r="467" spans="1:10" ht="12.75" x14ac:dyDescent="0.2">
      <c r="A467" s="7" t="s">
        <v>32</v>
      </c>
      <c r="B467" s="7" t="s">
        <v>158</v>
      </c>
      <c r="C467" s="8">
        <v>2167</v>
      </c>
      <c r="D467" s="9">
        <v>10</v>
      </c>
      <c r="E467" s="8">
        <v>15</v>
      </c>
      <c r="F467" s="10">
        <v>32505</v>
      </c>
      <c r="G467" s="10">
        <v>3250.5</v>
      </c>
      <c r="H467" s="10">
        <v>29254.5</v>
      </c>
      <c r="I467" s="11">
        <v>21670</v>
      </c>
      <c r="J467" s="12">
        <v>41284</v>
      </c>
    </row>
    <row r="468" spans="1:10" ht="12.75" x14ac:dyDescent="0.2">
      <c r="A468" s="7" t="s">
        <v>29</v>
      </c>
      <c r="B468" s="7" t="s">
        <v>158</v>
      </c>
      <c r="C468" s="8">
        <v>241</v>
      </c>
      <c r="D468" s="9">
        <v>10</v>
      </c>
      <c r="E468" s="8">
        <v>20</v>
      </c>
      <c r="F468" s="10">
        <v>4820</v>
      </c>
      <c r="G468" s="10">
        <v>482</v>
      </c>
      <c r="H468" s="10">
        <v>4338</v>
      </c>
      <c r="I468" s="11">
        <v>2410</v>
      </c>
      <c r="J468" s="12">
        <v>41649</v>
      </c>
    </row>
    <row r="469" spans="1:10" ht="12.75" x14ac:dyDescent="0.2">
      <c r="A469" s="7" t="s">
        <v>136</v>
      </c>
      <c r="B469" s="7" t="s">
        <v>158</v>
      </c>
      <c r="C469" s="8">
        <v>681</v>
      </c>
      <c r="D469" s="9">
        <v>120</v>
      </c>
      <c r="E469" s="8">
        <v>15</v>
      </c>
      <c r="F469" s="10">
        <v>10215</v>
      </c>
      <c r="G469" s="10">
        <v>1021.5</v>
      </c>
      <c r="H469" s="10">
        <v>9193.5</v>
      </c>
      <c r="I469" s="11">
        <v>6810</v>
      </c>
      <c r="J469" s="12">
        <v>41640</v>
      </c>
    </row>
    <row r="470" spans="1:10" ht="12.75" x14ac:dyDescent="0.2">
      <c r="A470" s="7" t="s">
        <v>136</v>
      </c>
      <c r="B470" s="7" t="s">
        <v>158</v>
      </c>
      <c r="C470" s="8">
        <v>510</v>
      </c>
      <c r="D470" s="9">
        <v>120</v>
      </c>
      <c r="E470" s="8">
        <v>15</v>
      </c>
      <c r="F470" s="10">
        <v>7650</v>
      </c>
      <c r="G470" s="10">
        <v>765</v>
      </c>
      <c r="H470" s="10">
        <v>6885</v>
      </c>
      <c r="I470" s="11">
        <v>5100</v>
      </c>
      <c r="J470" s="12">
        <v>41643</v>
      </c>
    </row>
    <row r="471" spans="1:10" ht="12.75" x14ac:dyDescent="0.2">
      <c r="A471" s="7" t="s">
        <v>129</v>
      </c>
      <c r="B471" s="7" t="s">
        <v>158</v>
      </c>
      <c r="C471" s="8">
        <v>790</v>
      </c>
      <c r="D471" s="9">
        <v>120</v>
      </c>
      <c r="E471" s="8">
        <v>15</v>
      </c>
      <c r="F471" s="10">
        <v>11850</v>
      </c>
      <c r="G471" s="10">
        <v>1185</v>
      </c>
      <c r="H471" s="10">
        <v>10665</v>
      </c>
      <c r="I471" s="11">
        <v>7900</v>
      </c>
      <c r="J471" s="12">
        <v>41644</v>
      </c>
    </row>
    <row r="472" spans="1:10" ht="12.75" x14ac:dyDescent="0.2">
      <c r="A472" s="7" t="s">
        <v>58</v>
      </c>
      <c r="B472" s="7" t="s">
        <v>158</v>
      </c>
      <c r="C472" s="8">
        <v>639</v>
      </c>
      <c r="D472" s="9">
        <v>120</v>
      </c>
      <c r="E472" s="8">
        <v>350</v>
      </c>
      <c r="F472" s="10">
        <v>223650</v>
      </c>
      <c r="G472" s="10">
        <v>22365</v>
      </c>
      <c r="H472" s="10">
        <v>201285</v>
      </c>
      <c r="I472" s="11">
        <v>166140</v>
      </c>
      <c r="J472" s="12">
        <v>41646</v>
      </c>
    </row>
    <row r="473" spans="1:10" ht="12.75" x14ac:dyDescent="0.2">
      <c r="A473" s="7" t="s">
        <v>41</v>
      </c>
      <c r="B473" s="7" t="s">
        <v>158</v>
      </c>
      <c r="C473" s="8">
        <v>1596</v>
      </c>
      <c r="D473" s="9">
        <v>120</v>
      </c>
      <c r="E473" s="8">
        <v>125</v>
      </c>
      <c r="F473" s="10">
        <v>199500</v>
      </c>
      <c r="G473" s="10">
        <v>19950</v>
      </c>
      <c r="H473" s="10">
        <v>179550</v>
      </c>
      <c r="I473" s="11">
        <v>191520</v>
      </c>
      <c r="J473" s="12">
        <v>41648</v>
      </c>
    </row>
    <row r="474" spans="1:10" ht="12.75" x14ac:dyDescent="0.2">
      <c r="A474" s="7" t="s">
        <v>144</v>
      </c>
      <c r="B474" s="7" t="s">
        <v>158</v>
      </c>
      <c r="C474" s="8">
        <v>2294</v>
      </c>
      <c r="D474" s="9">
        <v>120</v>
      </c>
      <c r="E474" s="8">
        <v>300</v>
      </c>
      <c r="F474" s="10">
        <v>688200</v>
      </c>
      <c r="G474" s="10">
        <v>68820</v>
      </c>
      <c r="H474" s="10">
        <v>619380</v>
      </c>
      <c r="I474" s="11">
        <v>573500</v>
      </c>
      <c r="J474" s="12">
        <v>41284</v>
      </c>
    </row>
    <row r="475" spans="1:10" ht="12.75" x14ac:dyDescent="0.2">
      <c r="A475" s="7" t="s">
        <v>40</v>
      </c>
      <c r="B475" s="7" t="s">
        <v>158</v>
      </c>
      <c r="C475" s="8">
        <v>241</v>
      </c>
      <c r="D475" s="9">
        <v>120</v>
      </c>
      <c r="E475" s="8">
        <v>20</v>
      </c>
      <c r="F475" s="10">
        <v>4820</v>
      </c>
      <c r="G475" s="10">
        <v>482</v>
      </c>
      <c r="H475" s="10">
        <v>4338</v>
      </c>
      <c r="I475" s="11">
        <v>2410</v>
      </c>
      <c r="J475" s="12">
        <v>41649</v>
      </c>
    </row>
    <row r="476" spans="1:10" ht="12.75" x14ac:dyDescent="0.2">
      <c r="A476" s="7" t="s">
        <v>40</v>
      </c>
      <c r="B476" s="7" t="s">
        <v>158</v>
      </c>
      <c r="C476" s="8">
        <v>2665</v>
      </c>
      <c r="D476" s="9">
        <v>120</v>
      </c>
      <c r="E476" s="8">
        <v>7</v>
      </c>
      <c r="F476" s="10">
        <v>18655</v>
      </c>
      <c r="G476" s="10">
        <v>1865.5</v>
      </c>
      <c r="H476" s="10">
        <v>16789.5</v>
      </c>
      <c r="I476" s="11">
        <v>13325</v>
      </c>
      <c r="J476" s="12">
        <v>41650</v>
      </c>
    </row>
    <row r="477" spans="1:10" ht="12.75" x14ac:dyDescent="0.2">
      <c r="A477" s="7" t="s">
        <v>42</v>
      </c>
      <c r="B477" s="7" t="s">
        <v>158</v>
      </c>
      <c r="C477" s="8">
        <v>1916</v>
      </c>
      <c r="D477" s="9">
        <v>120</v>
      </c>
      <c r="E477" s="8">
        <v>125</v>
      </c>
      <c r="F477" s="10">
        <v>239500</v>
      </c>
      <c r="G477" s="10">
        <v>23950</v>
      </c>
      <c r="H477" s="10">
        <v>215550</v>
      </c>
      <c r="I477" s="11">
        <v>229920</v>
      </c>
      <c r="J477" s="12">
        <v>41286</v>
      </c>
    </row>
    <row r="478" spans="1:10" ht="12.75" x14ac:dyDescent="0.2">
      <c r="A478" s="7" t="s">
        <v>137</v>
      </c>
      <c r="B478" s="7" t="s">
        <v>158</v>
      </c>
      <c r="C478" s="8">
        <v>853</v>
      </c>
      <c r="D478" s="9">
        <v>120</v>
      </c>
      <c r="E478" s="8">
        <v>300</v>
      </c>
      <c r="F478" s="10">
        <v>255900</v>
      </c>
      <c r="G478" s="10">
        <v>25590</v>
      </c>
      <c r="H478" s="10">
        <v>230310</v>
      </c>
      <c r="I478" s="11">
        <v>213250</v>
      </c>
      <c r="J478" s="12">
        <v>41651</v>
      </c>
    </row>
    <row r="479" spans="1:10" ht="12.75" x14ac:dyDescent="0.2">
      <c r="A479" s="7" t="s">
        <v>103</v>
      </c>
      <c r="B479" s="7" t="s">
        <v>158</v>
      </c>
      <c r="C479" s="8">
        <v>341</v>
      </c>
      <c r="D479" s="9">
        <v>250</v>
      </c>
      <c r="E479" s="8">
        <v>125</v>
      </c>
      <c r="F479" s="10">
        <v>42625</v>
      </c>
      <c r="G479" s="10">
        <v>4262.5</v>
      </c>
      <c r="H479" s="10">
        <v>38362.5</v>
      </c>
      <c r="I479" s="11">
        <v>40920</v>
      </c>
      <c r="J479" s="12">
        <v>41644</v>
      </c>
    </row>
    <row r="480" spans="1:10" ht="12.75" x14ac:dyDescent="0.2">
      <c r="A480" s="7" t="s">
        <v>120</v>
      </c>
      <c r="B480" s="7" t="s">
        <v>158</v>
      </c>
      <c r="C480" s="8">
        <v>641</v>
      </c>
      <c r="D480" s="9">
        <v>250</v>
      </c>
      <c r="E480" s="8">
        <v>15</v>
      </c>
      <c r="F480" s="10">
        <v>9615</v>
      </c>
      <c r="G480" s="10">
        <v>961.5</v>
      </c>
      <c r="H480" s="10">
        <v>8653.5</v>
      </c>
      <c r="I480" s="11">
        <v>6410</v>
      </c>
      <c r="J480" s="12">
        <v>41646</v>
      </c>
    </row>
    <row r="481" spans="1:10" ht="12.75" x14ac:dyDescent="0.2">
      <c r="A481" s="7" t="s">
        <v>105</v>
      </c>
      <c r="B481" s="7" t="s">
        <v>158</v>
      </c>
      <c r="C481" s="8">
        <v>2807</v>
      </c>
      <c r="D481" s="9">
        <v>250</v>
      </c>
      <c r="E481" s="8">
        <v>350</v>
      </c>
      <c r="F481" s="10">
        <v>982450</v>
      </c>
      <c r="G481" s="10">
        <v>98245</v>
      </c>
      <c r="H481" s="10">
        <v>884205</v>
      </c>
      <c r="I481" s="11">
        <v>729820</v>
      </c>
      <c r="J481" s="12">
        <v>41647</v>
      </c>
    </row>
    <row r="482" spans="1:10" ht="12.75" x14ac:dyDescent="0.2">
      <c r="A482" s="7" t="s">
        <v>82</v>
      </c>
      <c r="B482" s="7" t="s">
        <v>158</v>
      </c>
      <c r="C482" s="8">
        <v>432</v>
      </c>
      <c r="D482" s="9">
        <v>250</v>
      </c>
      <c r="E482" s="8">
        <v>300</v>
      </c>
      <c r="F482" s="10">
        <v>129600</v>
      </c>
      <c r="G482" s="10">
        <v>12960</v>
      </c>
      <c r="H482" s="10">
        <v>116640</v>
      </c>
      <c r="I482" s="11">
        <v>108000</v>
      </c>
      <c r="J482" s="12">
        <v>41648</v>
      </c>
    </row>
    <row r="483" spans="1:10" ht="12.75" x14ac:dyDescent="0.2">
      <c r="A483" s="7" t="s">
        <v>113</v>
      </c>
      <c r="B483" s="7" t="s">
        <v>158</v>
      </c>
      <c r="C483" s="8">
        <v>2294</v>
      </c>
      <c r="D483" s="9">
        <v>250</v>
      </c>
      <c r="E483" s="8">
        <v>300</v>
      </c>
      <c r="F483" s="10">
        <v>688200</v>
      </c>
      <c r="G483" s="10">
        <v>68820</v>
      </c>
      <c r="H483" s="10">
        <v>619380</v>
      </c>
      <c r="I483" s="11">
        <v>573500</v>
      </c>
      <c r="J483" s="12">
        <v>41284</v>
      </c>
    </row>
    <row r="484" spans="1:10" ht="12.75" x14ac:dyDescent="0.2">
      <c r="A484" s="7" t="s">
        <v>45</v>
      </c>
      <c r="B484" s="7" t="s">
        <v>158</v>
      </c>
      <c r="C484" s="8">
        <v>2167</v>
      </c>
      <c r="D484" s="9">
        <v>250</v>
      </c>
      <c r="E484" s="8">
        <v>15</v>
      </c>
      <c r="F484" s="10">
        <v>32505</v>
      </c>
      <c r="G484" s="10">
        <v>3250.5</v>
      </c>
      <c r="H484" s="10">
        <v>29254.5</v>
      </c>
      <c r="I484" s="11">
        <v>21670</v>
      </c>
      <c r="J484" s="12">
        <v>41284</v>
      </c>
    </row>
    <row r="485" spans="1:10" ht="12.75" x14ac:dyDescent="0.2">
      <c r="A485" s="7" t="s">
        <v>104</v>
      </c>
      <c r="B485" s="7" t="s">
        <v>158</v>
      </c>
      <c r="C485" s="8">
        <v>2529</v>
      </c>
      <c r="D485" s="9">
        <v>250</v>
      </c>
      <c r="E485" s="8">
        <v>125</v>
      </c>
      <c r="F485" s="10">
        <v>316125</v>
      </c>
      <c r="G485" s="10">
        <v>31612.5</v>
      </c>
      <c r="H485" s="10">
        <v>284512.5</v>
      </c>
      <c r="I485" s="11">
        <v>303480</v>
      </c>
      <c r="J485" s="12">
        <v>41650</v>
      </c>
    </row>
    <row r="486" spans="1:10" ht="12.75" x14ac:dyDescent="0.2">
      <c r="A486" s="7" t="s">
        <v>78</v>
      </c>
      <c r="B486" s="7" t="s">
        <v>158</v>
      </c>
      <c r="C486" s="8">
        <v>1870</v>
      </c>
      <c r="D486" s="9">
        <v>250</v>
      </c>
      <c r="E486" s="8">
        <v>350</v>
      </c>
      <c r="F486" s="10">
        <v>654500</v>
      </c>
      <c r="G486" s="10">
        <v>65450</v>
      </c>
      <c r="H486" s="10">
        <v>589050</v>
      </c>
      <c r="I486" s="11">
        <v>486200</v>
      </c>
      <c r="J486" s="12">
        <v>41286</v>
      </c>
    </row>
    <row r="487" spans="1:10" ht="12.75" x14ac:dyDescent="0.2">
      <c r="A487" s="7" t="s">
        <v>159</v>
      </c>
      <c r="B487" s="7" t="s">
        <v>158</v>
      </c>
      <c r="C487" s="8">
        <v>579</v>
      </c>
      <c r="D487" s="9">
        <v>260</v>
      </c>
      <c r="E487" s="8">
        <v>125</v>
      </c>
      <c r="F487" s="10">
        <v>72375</v>
      </c>
      <c r="G487" s="10">
        <v>7237.5</v>
      </c>
      <c r="H487" s="10">
        <v>65137.5</v>
      </c>
      <c r="I487" s="11">
        <v>69480</v>
      </c>
      <c r="J487" s="12">
        <v>41640</v>
      </c>
    </row>
    <row r="488" spans="1:10" ht="12.75" x14ac:dyDescent="0.2">
      <c r="A488" s="7" t="s">
        <v>123</v>
      </c>
      <c r="B488" s="7" t="s">
        <v>158</v>
      </c>
      <c r="C488" s="8">
        <v>2240</v>
      </c>
      <c r="D488" s="9">
        <v>260</v>
      </c>
      <c r="E488" s="8">
        <v>350</v>
      </c>
      <c r="F488" s="10">
        <v>784000</v>
      </c>
      <c r="G488" s="10">
        <v>78400</v>
      </c>
      <c r="H488" s="10">
        <v>705600</v>
      </c>
      <c r="I488" s="11">
        <v>582400</v>
      </c>
      <c r="J488" s="12">
        <v>41641</v>
      </c>
    </row>
    <row r="489" spans="1:10" ht="12.75" x14ac:dyDescent="0.2">
      <c r="A489" s="7" t="s">
        <v>147</v>
      </c>
      <c r="B489" s="7" t="s">
        <v>158</v>
      </c>
      <c r="C489" s="8">
        <v>2993</v>
      </c>
      <c r="D489" s="9">
        <v>260</v>
      </c>
      <c r="E489" s="8">
        <v>300</v>
      </c>
      <c r="F489" s="10">
        <v>897900</v>
      </c>
      <c r="G489" s="10">
        <v>89790</v>
      </c>
      <c r="H489" s="10">
        <v>808110</v>
      </c>
      <c r="I489" s="11">
        <v>748250</v>
      </c>
      <c r="J489" s="12">
        <v>41642</v>
      </c>
    </row>
    <row r="490" spans="1:10" ht="12.75" x14ac:dyDescent="0.2">
      <c r="A490" s="7" t="s">
        <v>160</v>
      </c>
      <c r="B490" s="7" t="s">
        <v>158</v>
      </c>
      <c r="C490" s="8">
        <v>3520.5</v>
      </c>
      <c r="D490" s="9">
        <v>260</v>
      </c>
      <c r="E490" s="8">
        <v>12</v>
      </c>
      <c r="F490" s="10">
        <v>42246</v>
      </c>
      <c r="G490" s="10">
        <v>4224.6000000000004</v>
      </c>
      <c r="H490" s="10">
        <v>38021.4</v>
      </c>
      <c r="I490" s="11">
        <v>10561.5</v>
      </c>
      <c r="J490" s="12">
        <v>41643</v>
      </c>
    </row>
    <row r="491" spans="1:10" ht="12.75" x14ac:dyDescent="0.2">
      <c r="A491" s="7" t="s">
        <v>121</v>
      </c>
      <c r="B491" s="7" t="s">
        <v>158</v>
      </c>
      <c r="C491" s="8">
        <v>2039</v>
      </c>
      <c r="D491" s="9">
        <v>260</v>
      </c>
      <c r="E491" s="8">
        <v>20</v>
      </c>
      <c r="F491" s="10">
        <v>40780</v>
      </c>
      <c r="G491" s="10">
        <v>4078</v>
      </c>
      <c r="H491" s="10">
        <v>36702</v>
      </c>
      <c r="I491" s="11">
        <v>20390</v>
      </c>
      <c r="J491" s="12">
        <v>41644</v>
      </c>
    </row>
    <row r="492" spans="1:10" ht="12.75" x14ac:dyDescent="0.2">
      <c r="A492" s="7" t="s">
        <v>161</v>
      </c>
      <c r="B492" s="7" t="s">
        <v>158</v>
      </c>
      <c r="C492" s="8">
        <v>2574</v>
      </c>
      <c r="D492" s="9">
        <v>260</v>
      </c>
      <c r="E492" s="8">
        <v>12</v>
      </c>
      <c r="F492" s="10">
        <v>30888</v>
      </c>
      <c r="G492" s="10">
        <v>3088.8</v>
      </c>
      <c r="H492" s="10">
        <v>27799.200000000001</v>
      </c>
      <c r="I492" s="11">
        <v>7722</v>
      </c>
      <c r="J492" s="12">
        <v>41647</v>
      </c>
    </row>
    <row r="493" spans="1:10" ht="12.75" x14ac:dyDescent="0.2">
      <c r="A493" s="7" t="s">
        <v>123</v>
      </c>
      <c r="B493" s="7" t="s">
        <v>158</v>
      </c>
      <c r="C493" s="8">
        <v>707</v>
      </c>
      <c r="D493" s="9">
        <v>260</v>
      </c>
      <c r="E493" s="8">
        <v>350</v>
      </c>
      <c r="F493" s="10">
        <v>247450</v>
      </c>
      <c r="G493" s="10">
        <v>24745</v>
      </c>
      <c r="H493" s="10">
        <v>222705</v>
      </c>
      <c r="I493" s="11">
        <v>183820</v>
      </c>
      <c r="J493" s="12">
        <v>41648</v>
      </c>
    </row>
    <row r="494" spans="1:10" ht="12.75" x14ac:dyDescent="0.2">
      <c r="A494" s="7" t="s">
        <v>84</v>
      </c>
      <c r="B494" s="7" t="s">
        <v>158</v>
      </c>
      <c r="C494" s="8">
        <v>2072</v>
      </c>
      <c r="D494" s="9">
        <v>260</v>
      </c>
      <c r="E494" s="8">
        <v>15</v>
      </c>
      <c r="F494" s="10">
        <v>31080</v>
      </c>
      <c r="G494" s="10">
        <v>3108</v>
      </c>
      <c r="H494" s="10">
        <v>27972</v>
      </c>
      <c r="I494" s="11">
        <v>20720</v>
      </c>
      <c r="J494" s="12">
        <v>41651</v>
      </c>
    </row>
    <row r="495" spans="1:10" ht="12.75" x14ac:dyDescent="0.2">
      <c r="A495" s="7" t="s">
        <v>162</v>
      </c>
      <c r="B495" s="7" t="s">
        <v>158</v>
      </c>
      <c r="C495" s="8">
        <v>853</v>
      </c>
      <c r="D495" s="9">
        <v>260</v>
      </c>
      <c r="E495" s="8">
        <v>300</v>
      </c>
      <c r="F495" s="10">
        <v>255900</v>
      </c>
      <c r="G495" s="10">
        <v>25590</v>
      </c>
      <c r="H495" s="10">
        <v>230310</v>
      </c>
      <c r="I495" s="11">
        <v>213250</v>
      </c>
      <c r="J495" s="12">
        <v>41651</v>
      </c>
    </row>
    <row r="496" spans="1:10" ht="12.75" x14ac:dyDescent="0.2">
      <c r="A496" s="7" t="s">
        <v>64</v>
      </c>
      <c r="B496" s="7" t="s">
        <v>158</v>
      </c>
      <c r="C496" s="8">
        <v>1198</v>
      </c>
      <c r="D496" s="9">
        <v>3</v>
      </c>
      <c r="E496" s="8">
        <v>12</v>
      </c>
      <c r="F496" s="10">
        <v>14376</v>
      </c>
      <c r="G496" s="10">
        <v>1581.36</v>
      </c>
      <c r="H496" s="10">
        <v>12794.64</v>
      </c>
      <c r="I496" s="11">
        <v>3594</v>
      </c>
      <c r="J496" s="12">
        <v>41284</v>
      </c>
    </row>
    <row r="497" spans="1:10" ht="12.75" x14ac:dyDescent="0.2">
      <c r="A497" s="7" t="s">
        <v>56</v>
      </c>
      <c r="B497" s="7" t="s">
        <v>158</v>
      </c>
      <c r="C497" s="8">
        <v>2532</v>
      </c>
      <c r="D497" s="9">
        <v>10</v>
      </c>
      <c r="E497" s="8">
        <v>7</v>
      </c>
      <c r="F497" s="10">
        <v>17724</v>
      </c>
      <c r="G497" s="10">
        <v>1949.64</v>
      </c>
      <c r="H497" s="10">
        <v>15774.36</v>
      </c>
      <c r="I497" s="11">
        <v>12660</v>
      </c>
      <c r="J497" s="12">
        <v>41643</v>
      </c>
    </row>
    <row r="498" spans="1:10" ht="12.75" x14ac:dyDescent="0.2">
      <c r="A498" s="7" t="s">
        <v>94</v>
      </c>
      <c r="B498" s="7" t="s">
        <v>158</v>
      </c>
      <c r="C498" s="8">
        <v>1198</v>
      </c>
      <c r="D498" s="9">
        <v>10</v>
      </c>
      <c r="E498" s="8">
        <v>12</v>
      </c>
      <c r="F498" s="10">
        <v>14376</v>
      </c>
      <c r="G498" s="10">
        <v>1581.36</v>
      </c>
      <c r="H498" s="10">
        <v>12794.64</v>
      </c>
      <c r="I498" s="11">
        <v>3594</v>
      </c>
      <c r="J498" s="12">
        <v>41284</v>
      </c>
    </row>
    <row r="499" spans="1:10" ht="12.75" x14ac:dyDescent="0.2">
      <c r="A499" s="7" t="s">
        <v>141</v>
      </c>
      <c r="B499" s="7" t="s">
        <v>158</v>
      </c>
      <c r="C499" s="8">
        <v>384</v>
      </c>
      <c r="D499" s="9">
        <v>120</v>
      </c>
      <c r="E499" s="8">
        <v>15</v>
      </c>
      <c r="F499" s="10">
        <v>5760</v>
      </c>
      <c r="G499" s="10">
        <v>633.6</v>
      </c>
      <c r="H499" s="10">
        <v>5126.3999999999996</v>
      </c>
      <c r="I499" s="11">
        <v>3840</v>
      </c>
      <c r="J499" s="12">
        <v>41640</v>
      </c>
    </row>
    <row r="500" spans="1:10" ht="12.75" x14ac:dyDescent="0.2">
      <c r="A500" s="7" t="s">
        <v>39</v>
      </c>
      <c r="B500" s="7" t="s">
        <v>158</v>
      </c>
      <c r="C500" s="8">
        <v>472</v>
      </c>
      <c r="D500" s="9">
        <v>120</v>
      </c>
      <c r="E500" s="8">
        <v>12</v>
      </c>
      <c r="F500" s="10">
        <v>5664</v>
      </c>
      <c r="G500" s="10">
        <v>623.04</v>
      </c>
      <c r="H500" s="10">
        <v>5040.96</v>
      </c>
      <c r="I500" s="11">
        <v>1416</v>
      </c>
      <c r="J500" s="12">
        <v>41649</v>
      </c>
    </row>
    <row r="501" spans="1:10" ht="12.75" x14ac:dyDescent="0.2">
      <c r="A501" s="7" t="s">
        <v>105</v>
      </c>
      <c r="B501" s="7" t="s">
        <v>158</v>
      </c>
      <c r="C501" s="8">
        <v>1579</v>
      </c>
      <c r="D501" s="9">
        <v>250</v>
      </c>
      <c r="E501" s="8">
        <v>7</v>
      </c>
      <c r="F501" s="10">
        <v>11053</v>
      </c>
      <c r="G501" s="10">
        <v>1215.83</v>
      </c>
      <c r="H501" s="10">
        <v>9837.17</v>
      </c>
      <c r="I501" s="11">
        <v>7895</v>
      </c>
      <c r="J501" s="12">
        <v>41642</v>
      </c>
    </row>
    <row r="502" spans="1:10" ht="12.75" x14ac:dyDescent="0.2">
      <c r="A502" s="7" t="s">
        <v>114</v>
      </c>
      <c r="B502" s="7" t="s">
        <v>158</v>
      </c>
      <c r="C502" s="8">
        <v>1005</v>
      </c>
      <c r="D502" s="9">
        <v>250</v>
      </c>
      <c r="E502" s="8">
        <v>12</v>
      </c>
      <c r="F502" s="10">
        <v>12060</v>
      </c>
      <c r="G502" s="10">
        <v>1326.6</v>
      </c>
      <c r="H502" s="10">
        <v>10733.4</v>
      </c>
      <c r="I502" s="11">
        <v>3015</v>
      </c>
      <c r="J502" s="12">
        <v>41283</v>
      </c>
    </row>
    <row r="503" spans="1:10" ht="12.75" x14ac:dyDescent="0.2">
      <c r="A503" s="7" t="s">
        <v>55</v>
      </c>
      <c r="B503" s="7" t="s">
        <v>158</v>
      </c>
      <c r="C503" s="8">
        <v>3199.5</v>
      </c>
      <c r="D503" s="9">
        <v>260</v>
      </c>
      <c r="E503" s="8">
        <v>15</v>
      </c>
      <c r="F503" s="10">
        <v>47992.5</v>
      </c>
      <c r="G503" s="10">
        <v>5279.18</v>
      </c>
      <c r="H503" s="10">
        <v>42713.33</v>
      </c>
      <c r="I503" s="11">
        <v>31995</v>
      </c>
      <c r="J503" s="12">
        <v>41646</v>
      </c>
    </row>
    <row r="504" spans="1:10" ht="12.75" x14ac:dyDescent="0.2">
      <c r="A504" s="7" t="s">
        <v>161</v>
      </c>
      <c r="B504" s="7" t="s">
        <v>158</v>
      </c>
      <c r="C504" s="8">
        <v>472</v>
      </c>
      <c r="D504" s="9">
        <v>260</v>
      </c>
      <c r="E504" s="8">
        <v>12</v>
      </c>
      <c r="F504" s="10">
        <v>5664</v>
      </c>
      <c r="G504" s="10">
        <v>623.04</v>
      </c>
      <c r="H504" s="10">
        <v>5040.96</v>
      </c>
      <c r="I504" s="11">
        <v>1416</v>
      </c>
      <c r="J504" s="12">
        <v>41649</v>
      </c>
    </row>
    <row r="505" spans="1:10" ht="12.75" x14ac:dyDescent="0.2">
      <c r="A505" s="7" t="s">
        <v>62</v>
      </c>
      <c r="B505" s="7" t="s">
        <v>158</v>
      </c>
      <c r="C505" s="8">
        <v>1937</v>
      </c>
      <c r="D505" s="9">
        <v>3</v>
      </c>
      <c r="E505" s="8">
        <v>12</v>
      </c>
      <c r="F505" s="10">
        <v>23244</v>
      </c>
      <c r="G505" s="10">
        <v>2556.84</v>
      </c>
      <c r="H505" s="10">
        <v>20687.16</v>
      </c>
      <c r="I505" s="11">
        <v>5811</v>
      </c>
      <c r="J505" s="12">
        <v>41641</v>
      </c>
    </row>
    <row r="506" spans="1:10" ht="12.75" x14ac:dyDescent="0.2">
      <c r="A506" s="7" t="s">
        <v>13</v>
      </c>
      <c r="B506" s="7" t="s">
        <v>158</v>
      </c>
      <c r="C506" s="8">
        <v>792</v>
      </c>
      <c r="D506" s="9">
        <v>3</v>
      </c>
      <c r="E506" s="8">
        <v>350</v>
      </c>
      <c r="F506" s="10">
        <v>277200</v>
      </c>
      <c r="G506" s="10">
        <v>30492</v>
      </c>
      <c r="H506" s="10">
        <v>246708</v>
      </c>
      <c r="I506" s="11">
        <v>205920</v>
      </c>
      <c r="J506" s="12">
        <v>41642</v>
      </c>
    </row>
    <row r="507" spans="1:10" ht="12.75" x14ac:dyDescent="0.2">
      <c r="A507" s="7" t="s">
        <v>86</v>
      </c>
      <c r="B507" s="7" t="s">
        <v>158</v>
      </c>
      <c r="C507" s="8">
        <v>2811</v>
      </c>
      <c r="D507" s="9">
        <v>3</v>
      </c>
      <c r="E507" s="8">
        <v>300</v>
      </c>
      <c r="F507" s="10">
        <v>843300</v>
      </c>
      <c r="G507" s="10">
        <v>92763</v>
      </c>
      <c r="H507" s="10">
        <v>750537</v>
      </c>
      <c r="I507" s="11">
        <v>702750</v>
      </c>
      <c r="J507" s="12">
        <v>41646</v>
      </c>
    </row>
    <row r="508" spans="1:10" ht="12.75" x14ac:dyDescent="0.2">
      <c r="A508" s="7" t="s">
        <v>109</v>
      </c>
      <c r="B508" s="7" t="s">
        <v>158</v>
      </c>
      <c r="C508" s="8">
        <v>2441</v>
      </c>
      <c r="D508" s="9">
        <v>3</v>
      </c>
      <c r="E508" s="8">
        <v>125</v>
      </c>
      <c r="F508" s="10">
        <v>305125</v>
      </c>
      <c r="G508" s="10">
        <v>33563.75</v>
      </c>
      <c r="H508" s="10">
        <v>271561.25</v>
      </c>
      <c r="I508" s="11">
        <v>292920</v>
      </c>
      <c r="J508" s="12">
        <v>41649</v>
      </c>
    </row>
    <row r="509" spans="1:10" ht="12.75" x14ac:dyDescent="0.2">
      <c r="A509" s="7" t="s">
        <v>132</v>
      </c>
      <c r="B509" s="7" t="s">
        <v>158</v>
      </c>
      <c r="C509" s="8">
        <v>1560</v>
      </c>
      <c r="D509" s="9">
        <v>3</v>
      </c>
      <c r="E509" s="8">
        <v>15</v>
      </c>
      <c r="F509" s="10">
        <v>23400</v>
      </c>
      <c r="G509" s="10">
        <v>2574</v>
      </c>
      <c r="H509" s="10">
        <v>20826</v>
      </c>
      <c r="I509" s="11">
        <v>15600</v>
      </c>
      <c r="J509" s="12">
        <v>41285</v>
      </c>
    </row>
    <row r="510" spans="1:10" ht="12.75" x14ac:dyDescent="0.2">
      <c r="A510" s="7" t="s">
        <v>60</v>
      </c>
      <c r="B510" s="7" t="s">
        <v>158</v>
      </c>
      <c r="C510" s="8">
        <v>2706</v>
      </c>
      <c r="D510" s="9">
        <v>3</v>
      </c>
      <c r="E510" s="8">
        <v>7</v>
      </c>
      <c r="F510" s="10">
        <v>18942</v>
      </c>
      <c r="G510" s="10">
        <v>2083.62</v>
      </c>
      <c r="H510" s="10">
        <v>16858.38</v>
      </c>
      <c r="I510" s="11">
        <v>13530</v>
      </c>
      <c r="J510" s="12">
        <v>41285</v>
      </c>
    </row>
    <row r="511" spans="1:10" ht="12.75" x14ac:dyDescent="0.2">
      <c r="A511" s="7" t="s">
        <v>24</v>
      </c>
      <c r="B511" s="7" t="s">
        <v>158</v>
      </c>
      <c r="C511" s="8">
        <v>766</v>
      </c>
      <c r="D511" s="9">
        <v>5</v>
      </c>
      <c r="E511" s="8">
        <v>350</v>
      </c>
      <c r="F511" s="10">
        <v>268100</v>
      </c>
      <c r="G511" s="10">
        <v>29491</v>
      </c>
      <c r="H511" s="10">
        <v>238609</v>
      </c>
      <c r="I511" s="11">
        <v>199160</v>
      </c>
      <c r="J511" s="12">
        <v>41640</v>
      </c>
    </row>
    <row r="512" spans="1:10" ht="12.75" x14ac:dyDescent="0.2">
      <c r="A512" s="7" t="s">
        <v>24</v>
      </c>
      <c r="B512" s="7" t="s">
        <v>158</v>
      </c>
      <c r="C512" s="8">
        <v>2992</v>
      </c>
      <c r="D512" s="9">
        <v>5</v>
      </c>
      <c r="E512" s="8">
        <v>20</v>
      </c>
      <c r="F512" s="10">
        <v>59840</v>
      </c>
      <c r="G512" s="10">
        <v>6582.4</v>
      </c>
      <c r="H512" s="10">
        <v>53257.599999999999</v>
      </c>
      <c r="I512" s="11">
        <v>29920</v>
      </c>
      <c r="J512" s="12">
        <v>41284</v>
      </c>
    </row>
    <row r="513" spans="1:10" ht="12.75" x14ac:dyDescent="0.2">
      <c r="A513" s="7" t="s">
        <v>21</v>
      </c>
      <c r="B513" s="7" t="s">
        <v>158</v>
      </c>
      <c r="C513" s="8">
        <v>2157</v>
      </c>
      <c r="D513" s="9">
        <v>5</v>
      </c>
      <c r="E513" s="8">
        <v>15</v>
      </c>
      <c r="F513" s="10">
        <v>32355</v>
      </c>
      <c r="G513" s="10">
        <v>3559.05</v>
      </c>
      <c r="H513" s="10">
        <v>28795.95</v>
      </c>
      <c r="I513" s="11">
        <v>21570</v>
      </c>
      <c r="J513" s="12">
        <v>41651</v>
      </c>
    </row>
    <row r="514" spans="1:10" ht="12.75" x14ac:dyDescent="0.2">
      <c r="A514" s="7" t="s">
        <v>95</v>
      </c>
      <c r="B514" s="7" t="s">
        <v>158</v>
      </c>
      <c r="C514" s="8">
        <v>873</v>
      </c>
      <c r="D514" s="9">
        <v>10</v>
      </c>
      <c r="E514" s="8">
        <v>300</v>
      </c>
      <c r="F514" s="10">
        <v>261900</v>
      </c>
      <c r="G514" s="10">
        <v>28809</v>
      </c>
      <c r="H514" s="10">
        <v>233091</v>
      </c>
      <c r="I514" s="11">
        <v>218250</v>
      </c>
      <c r="J514" s="12">
        <v>41640</v>
      </c>
    </row>
    <row r="515" spans="1:10" ht="12.75" x14ac:dyDescent="0.2">
      <c r="A515" s="7" t="s">
        <v>31</v>
      </c>
      <c r="B515" s="7" t="s">
        <v>158</v>
      </c>
      <c r="C515" s="8">
        <v>1122</v>
      </c>
      <c r="D515" s="9">
        <v>10</v>
      </c>
      <c r="E515" s="8">
        <v>20</v>
      </c>
      <c r="F515" s="10">
        <v>22440</v>
      </c>
      <c r="G515" s="10">
        <v>2468.4</v>
      </c>
      <c r="H515" s="10">
        <v>19971.599999999999</v>
      </c>
      <c r="I515" s="11">
        <v>11220</v>
      </c>
      <c r="J515" s="12">
        <v>41642</v>
      </c>
    </row>
    <row r="516" spans="1:10" ht="12.75" x14ac:dyDescent="0.2">
      <c r="A516" s="7" t="s">
        <v>26</v>
      </c>
      <c r="B516" s="7" t="s">
        <v>158</v>
      </c>
      <c r="C516" s="8">
        <v>2104.5</v>
      </c>
      <c r="D516" s="9">
        <v>10</v>
      </c>
      <c r="E516" s="8">
        <v>350</v>
      </c>
      <c r="F516" s="10">
        <v>736575</v>
      </c>
      <c r="G516" s="10">
        <v>81023.25</v>
      </c>
      <c r="H516" s="10">
        <v>655551.75</v>
      </c>
      <c r="I516" s="11">
        <v>547170</v>
      </c>
      <c r="J516" s="12">
        <v>41646</v>
      </c>
    </row>
    <row r="517" spans="1:10" ht="12.75" x14ac:dyDescent="0.2">
      <c r="A517" s="7" t="s">
        <v>28</v>
      </c>
      <c r="B517" s="7" t="s">
        <v>158</v>
      </c>
      <c r="C517" s="8">
        <v>4026</v>
      </c>
      <c r="D517" s="9">
        <v>10</v>
      </c>
      <c r="E517" s="8">
        <v>12</v>
      </c>
      <c r="F517" s="10">
        <v>48312</v>
      </c>
      <c r="G517" s="10">
        <v>5314.32</v>
      </c>
      <c r="H517" s="10">
        <v>42997.68</v>
      </c>
      <c r="I517" s="11">
        <v>12078</v>
      </c>
      <c r="J517" s="12">
        <v>41646</v>
      </c>
    </row>
    <row r="518" spans="1:10" ht="12.75" x14ac:dyDescent="0.2">
      <c r="A518" s="7" t="s">
        <v>94</v>
      </c>
      <c r="B518" s="7" t="s">
        <v>158</v>
      </c>
      <c r="C518" s="8">
        <v>2425.5</v>
      </c>
      <c r="D518" s="9">
        <v>10</v>
      </c>
      <c r="E518" s="8">
        <v>12</v>
      </c>
      <c r="F518" s="10">
        <v>29106</v>
      </c>
      <c r="G518" s="10">
        <v>3201.66</v>
      </c>
      <c r="H518" s="10">
        <v>25904.34</v>
      </c>
      <c r="I518" s="11">
        <v>7276.5</v>
      </c>
      <c r="J518" s="12">
        <v>41646</v>
      </c>
    </row>
    <row r="519" spans="1:10" ht="12.75" x14ac:dyDescent="0.2">
      <c r="A519" s="7" t="s">
        <v>26</v>
      </c>
      <c r="B519" s="7" t="s">
        <v>158</v>
      </c>
      <c r="C519" s="8">
        <v>2394</v>
      </c>
      <c r="D519" s="9">
        <v>10</v>
      </c>
      <c r="E519" s="8">
        <v>20</v>
      </c>
      <c r="F519" s="10">
        <v>47880</v>
      </c>
      <c r="G519" s="10">
        <v>5266.8</v>
      </c>
      <c r="H519" s="10">
        <v>42613.2</v>
      </c>
      <c r="I519" s="11">
        <v>23940</v>
      </c>
      <c r="J519" s="12">
        <v>41647</v>
      </c>
    </row>
    <row r="520" spans="1:10" ht="12.75" x14ac:dyDescent="0.2">
      <c r="A520" s="7" t="s">
        <v>27</v>
      </c>
      <c r="B520" s="7" t="s">
        <v>158</v>
      </c>
      <c r="C520" s="8">
        <v>1984</v>
      </c>
      <c r="D520" s="9">
        <v>10</v>
      </c>
      <c r="E520" s="8">
        <v>15</v>
      </c>
      <c r="F520" s="10">
        <v>29760</v>
      </c>
      <c r="G520" s="10">
        <v>3273.6</v>
      </c>
      <c r="H520" s="10">
        <v>26486.400000000001</v>
      </c>
      <c r="I520" s="11">
        <v>19840</v>
      </c>
      <c r="J520" s="12">
        <v>41647</v>
      </c>
    </row>
    <row r="521" spans="1:10" ht="12.75" x14ac:dyDescent="0.2">
      <c r="A521" s="7" t="s">
        <v>73</v>
      </c>
      <c r="B521" s="7" t="s">
        <v>158</v>
      </c>
      <c r="C521" s="8">
        <v>2441</v>
      </c>
      <c r="D521" s="9">
        <v>10</v>
      </c>
      <c r="E521" s="8">
        <v>125</v>
      </c>
      <c r="F521" s="10">
        <v>305125</v>
      </c>
      <c r="G521" s="10">
        <v>33563.75</v>
      </c>
      <c r="H521" s="10">
        <v>271561.25</v>
      </c>
      <c r="I521" s="11">
        <v>292920</v>
      </c>
      <c r="J521" s="12">
        <v>41649</v>
      </c>
    </row>
    <row r="522" spans="1:10" ht="12.75" x14ac:dyDescent="0.2">
      <c r="A522" s="7" t="s">
        <v>29</v>
      </c>
      <c r="B522" s="7" t="s">
        <v>158</v>
      </c>
      <c r="C522" s="8">
        <v>2992</v>
      </c>
      <c r="D522" s="9">
        <v>10</v>
      </c>
      <c r="E522" s="8">
        <v>20</v>
      </c>
      <c r="F522" s="10">
        <v>59840</v>
      </c>
      <c r="G522" s="10">
        <v>6582.4</v>
      </c>
      <c r="H522" s="10">
        <v>53257.599999999999</v>
      </c>
      <c r="I522" s="11">
        <v>29920</v>
      </c>
      <c r="J522" s="12">
        <v>41284</v>
      </c>
    </row>
    <row r="523" spans="1:10" ht="12.75" x14ac:dyDescent="0.2">
      <c r="A523" s="7" t="s">
        <v>95</v>
      </c>
      <c r="B523" s="7" t="s">
        <v>158</v>
      </c>
      <c r="C523" s="8">
        <v>1366</v>
      </c>
      <c r="D523" s="9">
        <v>10</v>
      </c>
      <c r="E523" s="8">
        <v>300</v>
      </c>
      <c r="F523" s="10">
        <v>409800</v>
      </c>
      <c r="G523" s="10">
        <v>45078</v>
      </c>
      <c r="H523" s="10">
        <v>364722</v>
      </c>
      <c r="I523" s="11">
        <v>341500</v>
      </c>
      <c r="J523" s="12">
        <v>41650</v>
      </c>
    </row>
    <row r="524" spans="1:10" ht="12.75" x14ac:dyDescent="0.2">
      <c r="A524" s="7" t="s">
        <v>58</v>
      </c>
      <c r="B524" s="7" t="s">
        <v>158</v>
      </c>
      <c r="C524" s="8">
        <v>2805</v>
      </c>
      <c r="D524" s="9">
        <v>120</v>
      </c>
      <c r="E524" s="8">
        <v>20</v>
      </c>
      <c r="F524" s="10">
        <v>56100</v>
      </c>
      <c r="G524" s="10">
        <v>6171</v>
      </c>
      <c r="H524" s="10">
        <v>49929</v>
      </c>
      <c r="I524" s="11">
        <v>28050</v>
      </c>
      <c r="J524" s="12">
        <v>41283</v>
      </c>
    </row>
    <row r="525" spans="1:10" ht="12.75" x14ac:dyDescent="0.2">
      <c r="A525" s="7" t="s">
        <v>130</v>
      </c>
      <c r="B525" s="7" t="s">
        <v>158</v>
      </c>
      <c r="C525" s="8">
        <v>655</v>
      </c>
      <c r="D525" s="9">
        <v>120</v>
      </c>
      <c r="E525" s="8">
        <v>15</v>
      </c>
      <c r="F525" s="10">
        <v>9825</v>
      </c>
      <c r="G525" s="10">
        <v>1080.75</v>
      </c>
      <c r="H525" s="10">
        <v>8744.25</v>
      </c>
      <c r="I525" s="11">
        <v>6550</v>
      </c>
      <c r="J525" s="12">
        <v>41283</v>
      </c>
    </row>
    <row r="526" spans="1:10" ht="12.75" x14ac:dyDescent="0.2">
      <c r="A526" s="7" t="s">
        <v>37</v>
      </c>
      <c r="B526" s="7" t="s">
        <v>158</v>
      </c>
      <c r="C526" s="8">
        <v>344</v>
      </c>
      <c r="D526" s="9">
        <v>120</v>
      </c>
      <c r="E526" s="8">
        <v>350</v>
      </c>
      <c r="F526" s="10">
        <v>120400</v>
      </c>
      <c r="G526" s="10">
        <v>13244</v>
      </c>
      <c r="H526" s="10">
        <v>107156</v>
      </c>
      <c r="I526" s="11">
        <v>89440</v>
      </c>
      <c r="J526" s="12">
        <v>41284</v>
      </c>
    </row>
    <row r="527" spans="1:10" ht="12.75" x14ac:dyDescent="0.2">
      <c r="A527" s="7" t="s">
        <v>77</v>
      </c>
      <c r="B527" s="7" t="s">
        <v>158</v>
      </c>
      <c r="C527" s="8">
        <v>1808</v>
      </c>
      <c r="D527" s="9">
        <v>120</v>
      </c>
      <c r="E527" s="8">
        <v>7</v>
      </c>
      <c r="F527" s="10">
        <v>12656</v>
      </c>
      <c r="G527" s="10">
        <v>1392.16</v>
      </c>
      <c r="H527" s="10">
        <v>11263.84</v>
      </c>
      <c r="I527" s="11">
        <v>9040</v>
      </c>
      <c r="J527" s="12">
        <v>41650</v>
      </c>
    </row>
    <row r="528" spans="1:10" ht="12.75" x14ac:dyDescent="0.2">
      <c r="A528" s="7" t="s">
        <v>119</v>
      </c>
      <c r="B528" s="7" t="s">
        <v>158</v>
      </c>
      <c r="C528" s="8">
        <v>1734</v>
      </c>
      <c r="D528" s="9">
        <v>250</v>
      </c>
      <c r="E528" s="8">
        <v>12</v>
      </c>
      <c r="F528" s="10">
        <v>20808</v>
      </c>
      <c r="G528" s="10">
        <v>2288.88</v>
      </c>
      <c r="H528" s="10">
        <v>18519.12</v>
      </c>
      <c r="I528" s="11">
        <v>5202</v>
      </c>
      <c r="J528" s="12">
        <v>41640</v>
      </c>
    </row>
    <row r="529" spans="1:10" ht="12.75" x14ac:dyDescent="0.2">
      <c r="A529" s="7" t="s">
        <v>103</v>
      </c>
      <c r="B529" s="7" t="s">
        <v>158</v>
      </c>
      <c r="C529" s="8">
        <v>554</v>
      </c>
      <c r="D529" s="9">
        <v>250</v>
      </c>
      <c r="E529" s="8">
        <v>125</v>
      </c>
      <c r="F529" s="10">
        <v>69250</v>
      </c>
      <c r="G529" s="10">
        <v>7617.5</v>
      </c>
      <c r="H529" s="10">
        <v>61632.5</v>
      </c>
      <c r="I529" s="11">
        <v>66480</v>
      </c>
      <c r="J529" s="12">
        <v>41640</v>
      </c>
    </row>
    <row r="530" spans="1:10" ht="12.75" x14ac:dyDescent="0.2">
      <c r="A530" s="7" t="s">
        <v>49</v>
      </c>
      <c r="B530" s="7" t="s">
        <v>158</v>
      </c>
      <c r="C530" s="8">
        <v>2935</v>
      </c>
      <c r="D530" s="9">
        <v>250</v>
      </c>
      <c r="E530" s="8">
        <v>20</v>
      </c>
      <c r="F530" s="10">
        <v>58700</v>
      </c>
      <c r="G530" s="10">
        <v>6457</v>
      </c>
      <c r="H530" s="10">
        <v>52243</v>
      </c>
      <c r="I530" s="11">
        <v>29350</v>
      </c>
      <c r="J530" s="12">
        <v>41285</v>
      </c>
    </row>
    <row r="531" spans="1:10" ht="12.75" x14ac:dyDescent="0.2">
      <c r="A531" s="7" t="s">
        <v>52</v>
      </c>
      <c r="B531" s="7" t="s">
        <v>158</v>
      </c>
      <c r="C531" s="8">
        <v>3165</v>
      </c>
      <c r="D531" s="9">
        <v>260</v>
      </c>
      <c r="E531" s="8">
        <v>125</v>
      </c>
      <c r="F531" s="10">
        <v>395625</v>
      </c>
      <c r="G531" s="10">
        <v>43518.75</v>
      </c>
      <c r="H531" s="10">
        <v>352106.25</v>
      </c>
      <c r="I531" s="11">
        <v>379800</v>
      </c>
      <c r="J531" s="12">
        <v>41640</v>
      </c>
    </row>
    <row r="532" spans="1:10" ht="12.75" x14ac:dyDescent="0.2">
      <c r="A532" s="7" t="s">
        <v>121</v>
      </c>
      <c r="B532" s="7" t="s">
        <v>158</v>
      </c>
      <c r="C532" s="8">
        <v>2629</v>
      </c>
      <c r="D532" s="9">
        <v>260</v>
      </c>
      <c r="E532" s="8">
        <v>20</v>
      </c>
      <c r="F532" s="10">
        <v>52580</v>
      </c>
      <c r="G532" s="10">
        <v>5783.8</v>
      </c>
      <c r="H532" s="10">
        <v>46796.2</v>
      </c>
      <c r="I532" s="11">
        <v>26290</v>
      </c>
      <c r="J532" s="12">
        <v>41640</v>
      </c>
    </row>
    <row r="533" spans="1:10" ht="12.75" x14ac:dyDescent="0.2">
      <c r="A533" s="7" t="s">
        <v>139</v>
      </c>
      <c r="B533" s="7" t="s">
        <v>158</v>
      </c>
      <c r="C533" s="8">
        <v>1433</v>
      </c>
      <c r="D533" s="9">
        <v>260</v>
      </c>
      <c r="E533" s="8">
        <v>125</v>
      </c>
      <c r="F533" s="10">
        <v>179125</v>
      </c>
      <c r="G533" s="10">
        <v>19703.75</v>
      </c>
      <c r="H533" s="10">
        <v>159421.25</v>
      </c>
      <c r="I533" s="11">
        <v>171960</v>
      </c>
      <c r="J533" s="12">
        <v>41644</v>
      </c>
    </row>
    <row r="534" spans="1:10" ht="12.75" x14ac:dyDescent="0.2">
      <c r="A534" s="7" t="s">
        <v>122</v>
      </c>
      <c r="B534" s="7" t="s">
        <v>158</v>
      </c>
      <c r="C534" s="8">
        <v>947</v>
      </c>
      <c r="D534" s="9">
        <v>260</v>
      </c>
      <c r="E534" s="8">
        <v>125</v>
      </c>
      <c r="F534" s="10">
        <v>118375</v>
      </c>
      <c r="G534" s="10">
        <v>13021.25</v>
      </c>
      <c r="H534" s="10">
        <v>105353.75</v>
      </c>
      <c r="I534" s="11">
        <v>113640</v>
      </c>
      <c r="J534" s="12">
        <v>41283</v>
      </c>
    </row>
    <row r="535" spans="1:10" ht="12.75" x14ac:dyDescent="0.2">
      <c r="A535" s="7" t="s">
        <v>121</v>
      </c>
      <c r="B535" s="7" t="s">
        <v>158</v>
      </c>
      <c r="C535" s="8">
        <v>344</v>
      </c>
      <c r="D535" s="9">
        <v>260</v>
      </c>
      <c r="E535" s="8">
        <v>350</v>
      </c>
      <c r="F535" s="10">
        <v>120400</v>
      </c>
      <c r="G535" s="10">
        <v>13244</v>
      </c>
      <c r="H535" s="10">
        <v>107156</v>
      </c>
      <c r="I535" s="11">
        <v>89440</v>
      </c>
      <c r="J535" s="12">
        <v>41284</v>
      </c>
    </row>
    <row r="536" spans="1:10" ht="12.75" x14ac:dyDescent="0.2">
      <c r="A536" s="7" t="s">
        <v>163</v>
      </c>
      <c r="B536" s="7" t="s">
        <v>158</v>
      </c>
      <c r="C536" s="8">
        <v>2157</v>
      </c>
      <c r="D536" s="9">
        <v>260</v>
      </c>
      <c r="E536" s="8">
        <v>15</v>
      </c>
      <c r="F536" s="10">
        <v>32355</v>
      </c>
      <c r="G536" s="10">
        <v>3559.05</v>
      </c>
      <c r="H536" s="10">
        <v>28795.95</v>
      </c>
      <c r="I536" s="11">
        <v>21570</v>
      </c>
      <c r="J536" s="12">
        <v>41651</v>
      </c>
    </row>
    <row r="537" spans="1:10" ht="12.75" x14ac:dyDescent="0.2">
      <c r="A537" s="7" t="s">
        <v>34</v>
      </c>
      <c r="B537" s="7" t="s">
        <v>158</v>
      </c>
      <c r="C537" s="8">
        <v>380</v>
      </c>
      <c r="D537" s="9">
        <v>10</v>
      </c>
      <c r="E537" s="8">
        <v>7</v>
      </c>
      <c r="F537" s="10">
        <v>2660</v>
      </c>
      <c r="G537" s="10">
        <v>292.60000000000002</v>
      </c>
      <c r="H537" s="10">
        <v>2367.4</v>
      </c>
      <c r="I537" s="11">
        <v>1900</v>
      </c>
      <c r="J537" s="12">
        <v>41283</v>
      </c>
    </row>
    <row r="538" spans="1:10" ht="12.75" x14ac:dyDescent="0.2">
      <c r="A538" s="7" t="s">
        <v>60</v>
      </c>
      <c r="B538" s="7" t="s">
        <v>158</v>
      </c>
      <c r="C538" s="8">
        <v>886</v>
      </c>
      <c r="D538" s="9">
        <v>3</v>
      </c>
      <c r="E538" s="8">
        <v>350</v>
      </c>
      <c r="F538" s="10">
        <v>310100</v>
      </c>
      <c r="G538" s="10">
        <v>37212</v>
      </c>
      <c r="H538" s="10">
        <v>272888</v>
      </c>
      <c r="I538" s="11">
        <v>230360</v>
      </c>
      <c r="J538" s="12">
        <v>41645</v>
      </c>
    </row>
    <row r="539" spans="1:10" ht="12.75" x14ac:dyDescent="0.2">
      <c r="A539" s="7" t="s">
        <v>85</v>
      </c>
      <c r="B539" s="7" t="s">
        <v>158</v>
      </c>
      <c r="C539" s="8">
        <v>2416</v>
      </c>
      <c r="D539" s="9">
        <v>3</v>
      </c>
      <c r="E539" s="8">
        <v>125</v>
      </c>
      <c r="F539" s="10">
        <v>302000</v>
      </c>
      <c r="G539" s="10">
        <v>36240</v>
      </c>
      <c r="H539" s="10">
        <v>265760</v>
      </c>
      <c r="I539" s="11">
        <v>289920</v>
      </c>
      <c r="J539" s="12">
        <v>41283</v>
      </c>
    </row>
    <row r="540" spans="1:10" ht="12.75" x14ac:dyDescent="0.2">
      <c r="A540" s="7" t="s">
        <v>148</v>
      </c>
      <c r="B540" s="7" t="s">
        <v>158</v>
      </c>
      <c r="C540" s="8">
        <v>2156</v>
      </c>
      <c r="D540" s="9">
        <v>3</v>
      </c>
      <c r="E540" s="8">
        <v>125</v>
      </c>
      <c r="F540" s="10">
        <v>269500</v>
      </c>
      <c r="G540" s="10">
        <v>32340</v>
      </c>
      <c r="H540" s="10">
        <v>237160</v>
      </c>
      <c r="I540" s="11">
        <v>258720</v>
      </c>
      <c r="J540" s="12">
        <v>41649</v>
      </c>
    </row>
    <row r="541" spans="1:10" ht="12.75" x14ac:dyDescent="0.2">
      <c r="A541" s="7" t="s">
        <v>132</v>
      </c>
      <c r="B541" s="7" t="s">
        <v>158</v>
      </c>
      <c r="C541" s="8">
        <v>2689</v>
      </c>
      <c r="D541" s="9">
        <v>3</v>
      </c>
      <c r="E541" s="8">
        <v>15</v>
      </c>
      <c r="F541" s="10">
        <v>40335</v>
      </c>
      <c r="G541" s="10">
        <v>4840.2</v>
      </c>
      <c r="H541" s="10">
        <v>35494.800000000003</v>
      </c>
      <c r="I541" s="11">
        <v>26890</v>
      </c>
      <c r="J541" s="12">
        <v>41650</v>
      </c>
    </row>
    <row r="542" spans="1:10" ht="12.75" x14ac:dyDescent="0.2">
      <c r="A542" s="7" t="s">
        <v>25</v>
      </c>
      <c r="B542" s="7" t="s">
        <v>158</v>
      </c>
      <c r="C542" s="8">
        <v>677</v>
      </c>
      <c r="D542" s="9">
        <v>5</v>
      </c>
      <c r="E542" s="8">
        <v>15</v>
      </c>
      <c r="F542" s="10">
        <v>10155</v>
      </c>
      <c r="G542" s="10">
        <v>1218.5999999999999</v>
      </c>
      <c r="H542" s="10">
        <v>8936.4</v>
      </c>
      <c r="I542" s="11">
        <v>6770</v>
      </c>
      <c r="J542" s="12">
        <v>41642</v>
      </c>
    </row>
    <row r="543" spans="1:10" ht="12.75" x14ac:dyDescent="0.2">
      <c r="A543" s="7" t="s">
        <v>143</v>
      </c>
      <c r="B543" s="7" t="s">
        <v>158</v>
      </c>
      <c r="C543" s="8">
        <v>1773</v>
      </c>
      <c r="D543" s="9">
        <v>5</v>
      </c>
      <c r="E543" s="8">
        <v>300</v>
      </c>
      <c r="F543" s="10">
        <v>531900</v>
      </c>
      <c r="G543" s="10">
        <v>63828</v>
      </c>
      <c r="H543" s="10">
        <v>468072</v>
      </c>
      <c r="I543" s="11">
        <v>443250</v>
      </c>
      <c r="J543" s="12">
        <v>41643</v>
      </c>
    </row>
    <row r="544" spans="1:10" ht="12.75" x14ac:dyDescent="0.2">
      <c r="A544" s="7" t="s">
        <v>128</v>
      </c>
      <c r="B544" s="7" t="s">
        <v>158</v>
      </c>
      <c r="C544" s="8">
        <v>2420</v>
      </c>
      <c r="D544" s="9">
        <v>5</v>
      </c>
      <c r="E544" s="8">
        <v>7</v>
      </c>
      <c r="F544" s="10">
        <v>16940</v>
      </c>
      <c r="G544" s="10">
        <v>2032.8</v>
      </c>
      <c r="H544" s="10">
        <v>14907.2</v>
      </c>
      <c r="I544" s="11">
        <v>12100</v>
      </c>
      <c r="J544" s="12">
        <v>41648</v>
      </c>
    </row>
    <row r="545" spans="1:10" ht="12.75" x14ac:dyDescent="0.2">
      <c r="A545" s="7" t="s">
        <v>69</v>
      </c>
      <c r="B545" s="7" t="s">
        <v>158</v>
      </c>
      <c r="C545" s="8">
        <v>2734</v>
      </c>
      <c r="D545" s="9">
        <v>5</v>
      </c>
      <c r="E545" s="8">
        <v>7</v>
      </c>
      <c r="F545" s="10">
        <v>19138</v>
      </c>
      <c r="G545" s="10">
        <v>2296.56</v>
      </c>
      <c r="H545" s="10">
        <v>16841.439999999999</v>
      </c>
      <c r="I545" s="11">
        <v>13670</v>
      </c>
      <c r="J545" s="12">
        <v>41649</v>
      </c>
    </row>
    <row r="546" spans="1:10" ht="12.75" x14ac:dyDescent="0.2">
      <c r="A546" s="7" t="s">
        <v>128</v>
      </c>
      <c r="B546" s="7" t="s">
        <v>158</v>
      </c>
      <c r="C546" s="8">
        <v>1715</v>
      </c>
      <c r="D546" s="9">
        <v>5</v>
      </c>
      <c r="E546" s="8">
        <v>20</v>
      </c>
      <c r="F546" s="10">
        <v>34300</v>
      </c>
      <c r="G546" s="10">
        <v>4116</v>
      </c>
      <c r="H546" s="10">
        <v>30184</v>
      </c>
      <c r="I546" s="11">
        <v>17150</v>
      </c>
      <c r="J546" s="12">
        <v>41284</v>
      </c>
    </row>
    <row r="547" spans="1:10" ht="12.75" x14ac:dyDescent="0.2">
      <c r="A547" s="7" t="s">
        <v>143</v>
      </c>
      <c r="B547" s="7" t="s">
        <v>158</v>
      </c>
      <c r="C547" s="8">
        <v>1186</v>
      </c>
      <c r="D547" s="9">
        <v>5</v>
      </c>
      <c r="E547" s="8">
        <v>300</v>
      </c>
      <c r="F547" s="10">
        <v>355800</v>
      </c>
      <c r="G547" s="10">
        <v>42696</v>
      </c>
      <c r="H547" s="10">
        <v>313104</v>
      </c>
      <c r="I547" s="11">
        <v>296500</v>
      </c>
      <c r="J547" s="12">
        <v>41286</v>
      </c>
    </row>
    <row r="548" spans="1:10" ht="12.75" x14ac:dyDescent="0.2">
      <c r="A548" s="7" t="s">
        <v>76</v>
      </c>
      <c r="B548" s="7" t="s">
        <v>158</v>
      </c>
      <c r="C548" s="8">
        <v>3495</v>
      </c>
      <c r="D548" s="9">
        <v>10</v>
      </c>
      <c r="E548" s="8">
        <v>300</v>
      </c>
      <c r="F548" s="10">
        <v>1048500</v>
      </c>
      <c r="G548" s="10">
        <v>125820</v>
      </c>
      <c r="H548" s="10">
        <v>922680</v>
      </c>
      <c r="I548" s="11">
        <v>873750</v>
      </c>
      <c r="J548" s="12">
        <v>41640</v>
      </c>
    </row>
    <row r="549" spans="1:10" ht="12.75" x14ac:dyDescent="0.2">
      <c r="A549" s="7" t="s">
        <v>31</v>
      </c>
      <c r="B549" s="7" t="s">
        <v>158</v>
      </c>
      <c r="C549" s="8">
        <v>886</v>
      </c>
      <c r="D549" s="9">
        <v>10</v>
      </c>
      <c r="E549" s="8">
        <v>350</v>
      </c>
      <c r="F549" s="10">
        <v>310100</v>
      </c>
      <c r="G549" s="10">
        <v>37212</v>
      </c>
      <c r="H549" s="10">
        <v>272888</v>
      </c>
      <c r="I549" s="11">
        <v>230360</v>
      </c>
      <c r="J549" s="12">
        <v>41645</v>
      </c>
    </row>
    <row r="550" spans="1:10" ht="12.75" x14ac:dyDescent="0.2">
      <c r="A550" s="7" t="s">
        <v>74</v>
      </c>
      <c r="B550" s="7" t="s">
        <v>158</v>
      </c>
      <c r="C550" s="8">
        <v>2156</v>
      </c>
      <c r="D550" s="9">
        <v>10</v>
      </c>
      <c r="E550" s="8">
        <v>125</v>
      </c>
      <c r="F550" s="10">
        <v>269500</v>
      </c>
      <c r="G550" s="10">
        <v>32340</v>
      </c>
      <c r="H550" s="10">
        <v>237160</v>
      </c>
      <c r="I550" s="11">
        <v>258720</v>
      </c>
      <c r="J550" s="12">
        <v>41649</v>
      </c>
    </row>
    <row r="551" spans="1:10" ht="12.75" x14ac:dyDescent="0.2">
      <c r="A551" s="7" t="s">
        <v>31</v>
      </c>
      <c r="B551" s="7" t="s">
        <v>158</v>
      </c>
      <c r="C551" s="8">
        <v>905</v>
      </c>
      <c r="D551" s="9">
        <v>10</v>
      </c>
      <c r="E551" s="8">
        <v>20</v>
      </c>
      <c r="F551" s="10">
        <v>18100</v>
      </c>
      <c r="G551" s="10">
        <v>2172</v>
      </c>
      <c r="H551" s="10">
        <v>15928</v>
      </c>
      <c r="I551" s="11">
        <v>9050</v>
      </c>
      <c r="J551" s="12">
        <v>41649</v>
      </c>
    </row>
    <row r="552" spans="1:10" ht="12.75" x14ac:dyDescent="0.2">
      <c r="A552" s="7" t="s">
        <v>31</v>
      </c>
      <c r="B552" s="7" t="s">
        <v>158</v>
      </c>
      <c r="C552" s="8">
        <v>1715</v>
      </c>
      <c r="D552" s="9">
        <v>10</v>
      </c>
      <c r="E552" s="8">
        <v>20</v>
      </c>
      <c r="F552" s="10">
        <v>34300</v>
      </c>
      <c r="G552" s="10">
        <v>4116</v>
      </c>
      <c r="H552" s="10">
        <v>30184</v>
      </c>
      <c r="I552" s="11">
        <v>17150</v>
      </c>
      <c r="J552" s="12">
        <v>41284</v>
      </c>
    </row>
    <row r="553" spans="1:10" ht="12.75" x14ac:dyDescent="0.2">
      <c r="A553" s="7" t="s">
        <v>56</v>
      </c>
      <c r="B553" s="7" t="s">
        <v>158</v>
      </c>
      <c r="C553" s="8">
        <v>1594</v>
      </c>
      <c r="D553" s="9">
        <v>10</v>
      </c>
      <c r="E553" s="8">
        <v>350</v>
      </c>
      <c r="F553" s="10">
        <v>557900</v>
      </c>
      <c r="G553" s="10">
        <v>66948</v>
      </c>
      <c r="H553" s="10">
        <v>490952</v>
      </c>
      <c r="I553" s="11">
        <v>414440</v>
      </c>
      <c r="J553" s="12">
        <v>41650</v>
      </c>
    </row>
    <row r="554" spans="1:10" ht="12.75" x14ac:dyDescent="0.2">
      <c r="A554" s="7" t="s">
        <v>92</v>
      </c>
      <c r="B554" s="7" t="s">
        <v>158</v>
      </c>
      <c r="C554" s="8">
        <v>1359</v>
      </c>
      <c r="D554" s="9">
        <v>10</v>
      </c>
      <c r="E554" s="8">
        <v>300</v>
      </c>
      <c r="F554" s="10">
        <v>407700</v>
      </c>
      <c r="G554" s="10">
        <v>48924</v>
      </c>
      <c r="H554" s="10">
        <v>358776</v>
      </c>
      <c r="I554" s="11">
        <v>339750</v>
      </c>
      <c r="J554" s="12">
        <v>41650</v>
      </c>
    </row>
    <row r="555" spans="1:10" ht="12.75" x14ac:dyDescent="0.2">
      <c r="A555" s="7" t="s">
        <v>33</v>
      </c>
      <c r="B555" s="7" t="s">
        <v>158</v>
      </c>
      <c r="C555" s="8">
        <v>2150</v>
      </c>
      <c r="D555" s="9">
        <v>10</v>
      </c>
      <c r="E555" s="8">
        <v>300</v>
      </c>
      <c r="F555" s="10">
        <v>645000</v>
      </c>
      <c r="G555" s="10">
        <v>77400</v>
      </c>
      <c r="H555" s="10">
        <v>567600</v>
      </c>
      <c r="I555" s="11">
        <v>537500</v>
      </c>
      <c r="J555" s="12">
        <v>41650</v>
      </c>
    </row>
    <row r="556" spans="1:10" ht="12.75" x14ac:dyDescent="0.2">
      <c r="A556" s="7" t="s">
        <v>31</v>
      </c>
      <c r="B556" s="7" t="s">
        <v>158</v>
      </c>
      <c r="C556" s="8">
        <v>1197</v>
      </c>
      <c r="D556" s="9">
        <v>10</v>
      </c>
      <c r="E556" s="8">
        <v>350</v>
      </c>
      <c r="F556" s="10">
        <v>418950</v>
      </c>
      <c r="G556" s="10">
        <v>50274</v>
      </c>
      <c r="H556" s="10">
        <v>368676</v>
      </c>
      <c r="I556" s="11">
        <v>311220</v>
      </c>
      <c r="J556" s="12">
        <v>41650</v>
      </c>
    </row>
    <row r="557" spans="1:10" ht="12.75" x14ac:dyDescent="0.2">
      <c r="A557" s="7" t="s">
        <v>27</v>
      </c>
      <c r="B557" s="7" t="s">
        <v>158</v>
      </c>
      <c r="C557" s="8">
        <v>380</v>
      </c>
      <c r="D557" s="9">
        <v>10</v>
      </c>
      <c r="E557" s="8">
        <v>15</v>
      </c>
      <c r="F557" s="10">
        <v>5700</v>
      </c>
      <c r="G557" s="10">
        <v>684</v>
      </c>
      <c r="H557" s="10">
        <v>5016</v>
      </c>
      <c r="I557" s="11">
        <v>3800</v>
      </c>
      <c r="J557" s="12">
        <v>41286</v>
      </c>
    </row>
    <row r="558" spans="1:10" ht="12.75" x14ac:dyDescent="0.2">
      <c r="A558" s="7" t="s">
        <v>31</v>
      </c>
      <c r="B558" s="7" t="s">
        <v>158</v>
      </c>
      <c r="C558" s="8">
        <v>1233</v>
      </c>
      <c r="D558" s="9">
        <v>10</v>
      </c>
      <c r="E558" s="8">
        <v>20</v>
      </c>
      <c r="F558" s="10">
        <v>24660</v>
      </c>
      <c r="G558" s="10">
        <v>2959.2</v>
      </c>
      <c r="H558" s="10">
        <v>21700.799999999999</v>
      </c>
      <c r="I558" s="11">
        <v>12330</v>
      </c>
      <c r="J558" s="12">
        <v>41651</v>
      </c>
    </row>
    <row r="559" spans="1:10" ht="12.75" x14ac:dyDescent="0.2">
      <c r="A559" s="7" t="s">
        <v>37</v>
      </c>
      <c r="B559" s="7" t="s">
        <v>158</v>
      </c>
      <c r="C559" s="8">
        <v>1395</v>
      </c>
      <c r="D559" s="9">
        <v>120</v>
      </c>
      <c r="E559" s="8">
        <v>350</v>
      </c>
      <c r="F559" s="10">
        <v>488250</v>
      </c>
      <c r="G559" s="10">
        <v>58590</v>
      </c>
      <c r="H559" s="10">
        <v>429660</v>
      </c>
      <c r="I559" s="11">
        <v>362700</v>
      </c>
      <c r="J559" s="12">
        <v>41646</v>
      </c>
    </row>
    <row r="560" spans="1:10" ht="12.75" x14ac:dyDescent="0.2">
      <c r="A560" s="7" t="s">
        <v>98</v>
      </c>
      <c r="B560" s="7" t="s">
        <v>158</v>
      </c>
      <c r="C560" s="8">
        <v>986</v>
      </c>
      <c r="D560" s="9">
        <v>120</v>
      </c>
      <c r="E560" s="8">
        <v>350</v>
      </c>
      <c r="F560" s="10">
        <v>345100</v>
      </c>
      <c r="G560" s="10">
        <v>41412</v>
      </c>
      <c r="H560" s="10">
        <v>303688</v>
      </c>
      <c r="I560" s="11">
        <v>256360</v>
      </c>
      <c r="J560" s="12">
        <v>41649</v>
      </c>
    </row>
    <row r="561" spans="1:10" ht="12.75" x14ac:dyDescent="0.2">
      <c r="A561" s="7" t="s">
        <v>37</v>
      </c>
      <c r="B561" s="7" t="s">
        <v>158</v>
      </c>
      <c r="C561" s="8">
        <v>905</v>
      </c>
      <c r="D561" s="9">
        <v>120</v>
      </c>
      <c r="E561" s="8">
        <v>20</v>
      </c>
      <c r="F561" s="10">
        <v>18100</v>
      </c>
      <c r="G561" s="10">
        <v>2172</v>
      </c>
      <c r="H561" s="10">
        <v>15928</v>
      </c>
      <c r="I561" s="11">
        <v>9050</v>
      </c>
      <c r="J561" s="12">
        <v>41649</v>
      </c>
    </row>
    <row r="562" spans="1:10" ht="12.75" x14ac:dyDescent="0.2">
      <c r="A562" s="7" t="s">
        <v>145</v>
      </c>
      <c r="B562" s="7" t="s">
        <v>158</v>
      </c>
      <c r="C562" s="8">
        <v>2109</v>
      </c>
      <c r="D562" s="9">
        <v>250</v>
      </c>
      <c r="E562" s="8">
        <v>12</v>
      </c>
      <c r="F562" s="10">
        <v>25308</v>
      </c>
      <c r="G562" s="10">
        <v>3036.96</v>
      </c>
      <c r="H562" s="10">
        <v>22271.040000000001</v>
      </c>
      <c r="I562" s="11">
        <v>6327</v>
      </c>
      <c r="J562" s="12">
        <v>41644</v>
      </c>
    </row>
    <row r="563" spans="1:10" ht="12.75" x14ac:dyDescent="0.2">
      <c r="A563" s="7" t="s">
        <v>45</v>
      </c>
      <c r="B563" s="7" t="s">
        <v>158</v>
      </c>
      <c r="C563" s="8">
        <v>3874.5</v>
      </c>
      <c r="D563" s="9">
        <v>250</v>
      </c>
      <c r="E563" s="8">
        <v>15</v>
      </c>
      <c r="F563" s="10">
        <v>58117.5</v>
      </c>
      <c r="G563" s="10">
        <v>6974.1</v>
      </c>
      <c r="H563" s="10">
        <v>51143.4</v>
      </c>
      <c r="I563" s="11">
        <v>38745</v>
      </c>
      <c r="J563" s="12">
        <v>41646</v>
      </c>
    </row>
    <row r="564" spans="1:10" ht="12.75" x14ac:dyDescent="0.2">
      <c r="A564" s="7" t="s">
        <v>49</v>
      </c>
      <c r="B564" s="7" t="s">
        <v>158</v>
      </c>
      <c r="C564" s="8">
        <v>623</v>
      </c>
      <c r="D564" s="9">
        <v>250</v>
      </c>
      <c r="E564" s="8">
        <v>350</v>
      </c>
      <c r="F564" s="10">
        <v>218050</v>
      </c>
      <c r="G564" s="10">
        <v>26166</v>
      </c>
      <c r="H564" s="10">
        <v>191884</v>
      </c>
      <c r="I564" s="11">
        <v>161980</v>
      </c>
      <c r="J564" s="12">
        <v>41283</v>
      </c>
    </row>
    <row r="565" spans="1:10" ht="12.75" x14ac:dyDescent="0.2">
      <c r="A565" s="7" t="s">
        <v>105</v>
      </c>
      <c r="B565" s="7" t="s">
        <v>158</v>
      </c>
      <c r="C565" s="8">
        <v>986</v>
      </c>
      <c r="D565" s="9">
        <v>250</v>
      </c>
      <c r="E565" s="8">
        <v>350</v>
      </c>
      <c r="F565" s="10">
        <v>345100</v>
      </c>
      <c r="G565" s="10">
        <v>41412</v>
      </c>
      <c r="H565" s="10">
        <v>303688</v>
      </c>
      <c r="I565" s="11">
        <v>256360</v>
      </c>
      <c r="J565" s="12">
        <v>41649</v>
      </c>
    </row>
    <row r="566" spans="1:10" ht="12.75" x14ac:dyDescent="0.2">
      <c r="A566" s="7" t="s">
        <v>79</v>
      </c>
      <c r="B566" s="7" t="s">
        <v>158</v>
      </c>
      <c r="C566" s="8">
        <v>2387</v>
      </c>
      <c r="D566" s="9">
        <v>250</v>
      </c>
      <c r="E566" s="8">
        <v>125</v>
      </c>
      <c r="F566" s="10">
        <v>298375</v>
      </c>
      <c r="G566" s="10">
        <v>35805</v>
      </c>
      <c r="H566" s="10">
        <v>262570</v>
      </c>
      <c r="I566" s="11">
        <v>286440</v>
      </c>
      <c r="J566" s="12">
        <v>41650</v>
      </c>
    </row>
    <row r="567" spans="1:10" ht="12.75" x14ac:dyDescent="0.2">
      <c r="A567" s="7" t="s">
        <v>83</v>
      </c>
      <c r="B567" s="7" t="s">
        <v>158</v>
      </c>
      <c r="C567" s="8">
        <v>1233</v>
      </c>
      <c r="D567" s="9">
        <v>250</v>
      </c>
      <c r="E567" s="8">
        <v>20</v>
      </c>
      <c r="F567" s="10">
        <v>24660</v>
      </c>
      <c r="G567" s="10">
        <v>2959.2</v>
      </c>
      <c r="H567" s="10">
        <v>21700.799999999999</v>
      </c>
      <c r="I567" s="11">
        <v>12330</v>
      </c>
      <c r="J567" s="12">
        <v>41651</v>
      </c>
    </row>
    <row r="568" spans="1:10" ht="12.75" x14ac:dyDescent="0.2">
      <c r="A568" s="7" t="s">
        <v>54</v>
      </c>
      <c r="B568" s="7" t="s">
        <v>158</v>
      </c>
      <c r="C568" s="8">
        <v>270</v>
      </c>
      <c r="D568" s="9">
        <v>260</v>
      </c>
      <c r="E568" s="8">
        <v>350</v>
      </c>
      <c r="F568" s="10">
        <v>94500</v>
      </c>
      <c r="G568" s="10">
        <v>11340</v>
      </c>
      <c r="H568" s="10">
        <v>83160</v>
      </c>
      <c r="I568" s="11">
        <v>70200</v>
      </c>
      <c r="J568" s="12">
        <v>41641</v>
      </c>
    </row>
    <row r="569" spans="1:10" ht="12.75" x14ac:dyDescent="0.2">
      <c r="A569" s="7" t="s">
        <v>50</v>
      </c>
      <c r="B569" s="7" t="s">
        <v>158</v>
      </c>
      <c r="C569" s="8">
        <v>3421.5</v>
      </c>
      <c r="D569" s="9">
        <v>260</v>
      </c>
      <c r="E569" s="8">
        <v>7</v>
      </c>
      <c r="F569" s="10">
        <v>23950.5</v>
      </c>
      <c r="G569" s="10">
        <v>2874.06</v>
      </c>
      <c r="H569" s="10">
        <v>21076.44</v>
      </c>
      <c r="I569" s="11">
        <v>17107.5</v>
      </c>
      <c r="J569" s="12">
        <v>41646</v>
      </c>
    </row>
    <row r="570" spans="1:10" ht="12.75" x14ac:dyDescent="0.2">
      <c r="A570" s="7" t="s">
        <v>123</v>
      </c>
      <c r="B570" s="7" t="s">
        <v>158</v>
      </c>
      <c r="C570" s="8">
        <v>2734</v>
      </c>
      <c r="D570" s="9">
        <v>260</v>
      </c>
      <c r="E570" s="8">
        <v>7</v>
      </c>
      <c r="F570" s="10">
        <v>19138</v>
      </c>
      <c r="G570" s="10">
        <v>2296.56</v>
      </c>
      <c r="H570" s="10">
        <v>16841.439999999999</v>
      </c>
      <c r="I570" s="11">
        <v>13670</v>
      </c>
      <c r="J570" s="12">
        <v>41649</v>
      </c>
    </row>
    <row r="571" spans="1:10" ht="12.75" x14ac:dyDescent="0.2">
      <c r="A571" s="7" t="s">
        <v>55</v>
      </c>
      <c r="B571" s="7" t="s">
        <v>158</v>
      </c>
      <c r="C571" s="8">
        <v>2548</v>
      </c>
      <c r="D571" s="9">
        <v>260</v>
      </c>
      <c r="E571" s="8">
        <v>15</v>
      </c>
      <c r="F571" s="10">
        <v>38220</v>
      </c>
      <c r="G571" s="10">
        <v>4586.3999999999996</v>
      </c>
      <c r="H571" s="10">
        <v>33633.599999999999</v>
      </c>
      <c r="I571" s="11">
        <v>25480</v>
      </c>
      <c r="J571" s="12">
        <v>41285</v>
      </c>
    </row>
    <row r="572" spans="1:10" ht="12.75" x14ac:dyDescent="0.2">
      <c r="A572" s="7" t="s">
        <v>67</v>
      </c>
      <c r="B572" s="7" t="s">
        <v>158</v>
      </c>
      <c r="C572" s="8">
        <v>2521.5</v>
      </c>
      <c r="D572" s="9">
        <v>3</v>
      </c>
      <c r="E572" s="8">
        <v>20</v>
      </c>
      <c r="F572" s="10">
        <v>50430</v>
      </c>
      <c r="G572" s="10">
        <v>6051.6</v>
      </c>
      <c r="H572" s="10">
        <v>44378.400000000001</v>
      </c>
      <c r="I572" s="11">
        <v>25215</v>
      </c>
      <c r="J572" s="12">
        <v>41640</v>
      </c>
    </row>
    <row r="573" spans="1:10" ht="12.75" x14ac:dyDescent="0.2">
      <c r="A573" s="7" t="s">
        <v>89</v>
      </c>
      <c r="B573" s="7" t="s">
        <v>158</v>
      </c>
      <c r="C573" s="8">
        <v>2661</v>
      </c>
      <c r="D573" s="9">
        <v>5</v>
      </c>
      <c r="E573" s="8">
        <v>12</v>
      </c>
      <c r="F573" s="10">
        <v>31932</v>
      </c>
      <c r="G573" s="10">
        <v>3831.84</v>
      </c>
      <c r="H573" s="10">
        <v>28100.16</v>
      </c>
      <c r="I573" s="11">
        <v>7983</v>
      </c>
      <c r="J573" s="12">
        <v>41644</v>
      </c>
    </row>
    <row r="574" spans="1:10" ht="12.75" x14ac:dyDescent="0.2">
      <c r="A574" s="7" t="s">
        <v>29</v>
      </c>
      <c r="B574" s="7" t="s">
        <v>158</v>
      </c>
      <c r="C574" s="8">
        <v>1531</v>
      </c>
      <c r="D574" s="9">
        <v>10</v>
      </c>
      <c r="E574" s="8">
        <v>20</v>
      </c>
      <c r="F574" s="10">
        <v>30620</v>
      </c>
      <c r="G574" s="10">
        <v>3674.4</v>
      </c>
      <c r="H574" s="10">
        <v>26945.599999999999</v>
      </c>
      <c r="I574" s="11">
        <v>15310</v>
      </c>
      <c r="J574" s="12">
        <v>41651</v>
      </c>
    </row>
    <row r="575" spans="1:10" ht="12.75" x14ac:dyDescent="0.2">
      <c r="A575" s="7" t="s">
        <v>47</v>
      </c>
      <c r="B575" s="7" t="s">
        <v>158</v>
      </c>
      <c r="C575" s="8">
        <v>1491</v>
      </c>
      <c r="D575" s="9">
        <v>250</v>
      </c>
      <c r="E575" s="8">
        <v>7</v>
      </c>
      <c r="F575" s="10">
        <v>10437</v>
      </c>
      <c r="G575" s="10">
        <v>1252.44</v>
      </c>
      <c r="H575" s="10">
        <v>9184.56</v>
      </c>
      <c r="I575" s="11">
        <v>7455</v>
      </c>
      <c r="J575" s="12">
        <v>41642</v>
      </c>
    </row>
    <row r="576" spans="1:10" ht="12.75" x14ac:dyDescent="0.2">
      <c r="A576" s="7" t="s">
        <v>78</v>
      </c>
      <c r="B576" s="7" t="s">
        <v>158</v>
      </c>
      <c r="C576" s="8">
        <v>1531</v>
      </c>
      <c r="D576" s="9">
        <v>250</v>
      </c>
      <c r="E576" s="8">
        <v>20</v>
      </c>
      <c r="F576" s="10">
        <v>30620</v>
      </c>
      <c r="G576" s="10">
        <v>3674.4</v>
      </c>
      <c r="H576" s="10">
        <v>26945.599999999999</v>
      </c>
      <c r="I576" s="11">
        <v>15310</v>
      </c>
      <c r="J576" s="12">
        <v>41651</v>
      </c>
    </row>
    <row r="577" spans="1:10" ht="12.75" x14ac:dyDescent="0.2">
      <c r="A577" s="7" t="s">
        <v>160</v>
      </c>
      <c r="B577" s="7" t="s">
        <v>158</v>
      </c>
      <c r="C577" s="8">
        <v>2761</v>
      </c>
      <c r="D577" s="9">
        <v>260</v>
      </c>
      <c r="E577" s="8">
        <v>12</v>
      </c>
      <c r="F577" s="10">
        <v>33132</v>
      </c>
      <c r="G577" s="10">
        <v>3975.84</v>
      </c>
      <c r="H577" s="10">
        <v>29156.16</v>
      </c>
      <c r="I577" s="11">
        <v>8283</v>
      </c>
      <c r="J577" s="12">
        <v>41283</v>
      </c>
    </row>
    <row r="578" spans="1:10" ht="12.75" x14ac:dyDescent="0.2">
      <c r="A578" s="7" t="s">
        <v>134</v>
      </c>
      <c r="B578" s="7" t="s">
        <v>158</v>
      </c>
      <c r="C578" s="8">
        <v>2567</v>
      </c>
      <c r="D578" s="9">
        <v>3</v>
      </c>
      <c r="E578" s="8">
        <v>15</v>
      </c>
      <c r="F578" s="10">
        <v>38505</v>
      </c>
      <c r="G578" s="10">
        <v>5005.6499999999996</v>
      </c>
      <c r="H578" s="10">
        <v>33499.35</v>
      </c>
      <c r="I578" s="11">
        <v>25670</v>
      </c>
      <c r="J578" s="12">
        <v>41645</v>
      </c>
    </row>
    <row r="579" spans="1:10" ht="12.75" x14ac:dyDescent="0.2">
      <c r="A579" s="7" t="s">
        <v>140</v>
      </c>
      <c r="B579" s="7" t="s">
        <v>158</v>
      </c>
      <c r="C579" s="8">
        <v>2567</v>
      </c>
      <c r="D579" s="9">
        <v>250</v>
      </c>
      <c r="E579" s="8">
        <v>15</v>
      </c>
      <c r="F579" s="10">
        <v>38505</v>
      </c>
      <c r="G579" s="10">
        <v>5005.6499999999996</v>
      </c>
      <c r="H579" s="10">
        <v>33499.35</v>
      </c>
      <c r="I579" s="11">
        <v>25670</v>
      </c>
      <c r="J579" s="12">
        <v>41645</v>
      </c>
    </row>
    <row r="580" spans="1:10" ht="12.75" x14ac:dyDescent="0.2">
      <c r="A580" s="7" t="s">
        <v>11</v>
      </c>
      <c r="B580" s="7" t="s">
        <v>158</v>
      </c>
      <c r="C580" s="8">
        <v>923</v>
      </c>
      <c r="D580" s="9">
        <v>3</v>
      </c>
      <c r="E580" s="8">
        <v>350</v>
      </c>
      <c r="F580" s="10">
        <v>323050</v>
      </c>
      <c r="G580" s="10">
        <v>41996.5</v>
      </c>
      <c r="H580" s="10">
        <v>281053.5</v>
      </c>
      <c r="I580" s="11">
        <v>239980</v>
      </c>
      <c r="J580" s="12">
        <v>41642</v>
      </c>
    </row>
    <row r="581" spans="1:10" ht="12.75" x14ac:dyDescent="0.2">
      <c r="A581" s="7" t="s">
        <v>67</v>
      </c>
      <c r="B581" s="7" t="s">
        <v>158</v>
      </c>
      <c r="C581" s="8">
        <v>1790</v>
      </c>
      <c r="D581" s="9">
        <v>3</v>
      </c>
      <c r="E581" s="8">
        <v>350</v>
      </c>
      <c r="F581" s="10">
        <v>626500</v>
      </c>
      <c r="G581" s="10">
        <v>81445</v>
      </c>
      <c r="H581" s="10">
        <v>545055</v>
      </c>
      <c r="I581" s="11">
        <v>465400</v>
      </c>
      <c r="J581" s="12">
        <v>41642</v>
      </c>
    </row>
    <row r="582" spans="1:10" ht="12.75" x14ac:dyDescent="0.2">
      <c r="A582" s="7" t="s">
        <v>13</v>
      </c>
      <c r="B582" s="7" t="s">
        <v>158</v>
      </c>
      <c r="C582" s="8">
        <v>442</v>
      </c>
      <c r="D582" s="9">
        <v>3</v>
      </c>
      <c r="E582" s="8">
        <v>20</v>
      </c>
      <c r="F582" s="10">
        <v>8840</v>
      </c>
      <c r="G582" s="10">
        <v>1149.2</v>
      </c>
      <c r="H582" s="10">
        <v>7690.8</v>
      </c>
      <c r="I582" s="11">
        <v>4420</v>
      </c>
      <c r="J582" s="12">
        <v>41283</v>
      </c>
    </row>
    <row r="583" spans="1:10" ht="12.75" x14ac:dyDescent="0.2">
      <c r="A583" s="7" t="s">
        <v>88</v>
      </c>
      <c r="B583" s="7" t="s">
        <v>158</v>
      </c>
      <c r="C583" s="8">
        <v>982.5</v>
      </c>
      <c r="D583" s="9">
        <v>5</v>
      </c>
      <c r="E583" s="8">
        <v>350</v>
      </c>
      <c r="F583" s="10">
        <v>343875</v>
      </c>
      <c r="G583" s="10">
        <v>44703.75</v>
      </c>
      <c r="H583" s="10">
        <v>299171.25</v>
      </c>
      <c r="I583" s="11">
        <v>255450</v>
      </c>
      <c r="J583" s="12">
        <v>41640</v>
      </c>
    </row>
    <row r="584" spans="1:10" ht="12.75" x14ac:dyDescent="0.2">
      <c r="A584" s="7" t="s">
        <v>88</v>
      </c>
      <c r="B584" s="7" t="s">
        <v>158</v>
      </c>
      <c r="C584" s="8">
        <v>1298</v>
      </c>
      <c r="D584" s="9">
        <v>5</v>
      </c>
      <c r="E584" s="8">
        <v>7</v>
      </c>
      <c r="F584" s="10">
        <v>9086</v>
      </c>
      <c r="G584" s="10">
        <v>1181.18</v>
      </c>
      <c r="H584" s="10">
        <v>7904.82</v>
      </c>
      <c r="I584" s="11">
        <v>6490</v>
      </c>
      <c r="J584" s="12">
        <v>41641</v>
      </c>
    </row>
    <row r="585" spans="1:10" ht="12.75" x14ac:dyDescent="0.2">
      <c r="A585" s="7" t="s">
        <v>89</v>
      </c>
      <c r="B585" s="7" t="s">
        <v>158</v>
      </c>
      <c r="C585" s="8">
        <v>604</v>
      </c>
      <c r="D585" s="9">
        <v>5</v>
      </c>
      <c r="E585" s="8">
        <v>12</v>
      </c>
      <c r="F585" s="10">
        <v>7248</v>
      </c>
      <c r="G585" s="10">
        <v>942.24</v>
      </c>
      <c r="H585" s="10">
        <v>6305.76</v>
      </c>
      <c r="I585" s="11">
        <v>1812</v>
      </c>
      <c r="J585" s="12">
        <v>41645</v>
      </c>
    </row>
    <row r="586" spans="1:10" ht="12.75" x14ac:dyDescent="0.2">
      <c r="A586" s="7" t="s">
        <v>128</v>
      </c>
      <c r="B586" s="7" t="s">
        <v>158</v>
      </c>
      <c r="C586" s="8">
        <v>2255</v>
      </c>
      <c r="D586" s="9">
        <v>5</v>
      </c>
      <c r="E586" s="8">
        <v>20</v>
      </c>
      <c r="F586" s="10">
        <v>45100</v>
      </c>
      <c r="G586" s="10">
        <v>5863</v>
      </c>
      <c r="H586" s="10">
        <v>39237</v>
      </c>
      <c r="I586" s="11">
        <v>22550</v>
      </c>
      <c r="J586" s="12">
        <v>41646</v>
      </c>
    </row>
    <row r="587" spans="1:10" ht="12.75" x14ac:dyDescent="0.2">
      <c r="A587" s="7" t="s">
        <v>69</v>
      </c>
      <c r="B587" s="7" t="s">
        <v>158</v>
      </c>
      <c r="C587" s="8">
        <v>1249</v>
      </c>
      <c r="D587" s="9">
        <v>5</v>
      </c>
      <c r="E587" s="8">
        <v>20</v>
      </c>
      <c r="F587" s="10">
        <v>24980</v>
      </c>
      <c r="G587" s="10">
        <v>3247.4</v>
      </c>
      <c r="H587" s="10">
        <v>21732.6</v>
      </c>
      <c r="I587" s="11">
        <v>12490</v>
      </c>
      <c r="J587" s="12">
        <v>41649</v>
      </c>
    </row>
    <row r="588" spans="1:10" ht="12.75" x14ac:dyDescent="0.2">
      <c r="A588" s="7" t="s">
        <v>34</v>
      </c>
      <c r="B588" s="7" t="s">
        <v>158</v>
      </c>
      <c r="C588" s="8">
        <v>1438.5</v>
      </c>
      <c r="D588" s="9">
        <v>10</v>
      </c>
      <c r="E588" s="8">
        <v>7</v>
      </c>
      <c r="F588" s="10">
        <v>10069.5</v>
      </c>
      <c r="G588" s="10">
        <v>1309.04</v>
      </c>
      <c r="H588" s="10">
        <v>8760.4699999999993</v>
      </c>
      <c r="I588" s="11">
        <v>7192.5</v>
      </c>
      <c r="J588" s="12">
        <v>41640</v>
      </c>
    </row>
    <row r="589" spans="1:10" ht="12.75" x14ac:dyDescent="0.2">
      <c r="A589" s="7" t="s">
        <v>92</v>
      </c>
      <c r="B589" s="7" t="s">
        <v>158</v>
      </c>
      <c r="C589" s="8">
        <v>807</v>
      </c>
      <c r="D589" s="9">
        <v>10</v>
      </c>
      <c r="E589" s="8">
        <v>300</v>
      </c>
      <c r="F589" s="10">
        <v>242100</v>
      </c>
      <c r="G589" s="10">
        <v>31473</v>
      </c>
      <c r="H589" s="10">
        <v>210627</v>
      </c>
      <c r="I589" s="11">
        <v>201750</v>
      </c>
      <c r="J589" s="12">
        <v>41640</v>
      </c>
    </row>
    <row r="590" spans="1:10" ht="12.75" x14ac:dyDescent="0.2">
      <c r="A590" s="7" t="s">
        <v>34</v>
      </c>
      <c r="B590" s="7" t="s">
        <v>158</v>
      </c>
      <c r="C590" s="8">
        <v>2641</v>
      </c>
      <c r="D590" s="9">
        <v>10</v>
      </c>
      <c r="E590" s="8">
        <v>20</v>
      </c>
      <c r="F590" s="10">
        <v>52820</v>
      </c>
      <c r="G590" s="10">
        <v>6866.6</v>
      </c>
      <c r="H590" s="10">
        <v>45953.4</v>
      </c>
      <c r="I590" s="11">
        <v>26410</v>
      </c>
      <c r="J590" s="12">
        <v>41641</v>
      </c>
    </row>
    <row r="591" spans="1:10" ht="12.75" x14ac:dyDescent="0.2">
      <c r="A591" s="7" t="s">
        <v>29</v>
      </c>
      <c r="B591" s="7" t="s">
        <v>158</v>
      </c>
      <c r="C591" s="8">
        <v>2708</v>
      </c>
      <c r="D591" s="9">
        <v>10</v>
      </c>
      <c r="E591" s="8">
        <v>20</v>
      </c>
      <c r="F591" s="10">
        <v>54160</v>
      </c>
      <c r="G591" s="10">
        <v>7040.8</v>
      </c>
      <c r="H591" s="10">
        <v>47119.199999999997</v>
      </c>
      <c r="I591" s="11">
        <v>27080</v>
      </c>
      <c r="J591" s="12">
        <v>41641</v>
      </c>
    </row>
    <row r="592" spans="1:10" ht="12.75" x14ac:dyDescent="0.2">
      <c r="A592" s="7" t="s">
        <v>26</v>
      </c>
      <c r="B592" s="7" t="s">
        <v>158</v>
      </c>
      <c r="C592" s="8">
        <v>2632</v>
      </c>
      <c r="D592" s="9">
        <v>10</v>
      </c>
      <c r="E592" s="8">
        <v>350</v>
      </c>
      <c r="F592" s="10">
        <v>921200</v>
      </c>
      <c r="G592" s="10">
        <v>119756</v>
      </c>
      <c r="H592" s="10">
        <v>801444</v>
      </c>
      <c r="I592" s="11">
        <v>684320</v>
      </c>
      <c r="J592" s="12">
        <v>41645</v>
      </c>
    </row>
    <row r="593" spans="1:10" ht="12.75" x14ac:dyDescent="0.2">
      <c r="A593" s="7" t="s">
        <v>96</v>
      </c>
      <c r="B593" s="7" t="s">
        <v>158</v>
      </c>
      <c r="C593" s="8">
        <v>1583</v>
      </c>
      <c r="D593" s="9">
        <v>10</v>
      </c>
      <c r="E593" s="8">
        <v>125</v>
      </c>
      <c r="F593" s="10">
        <v>197875</v>
      </c>
      <c r="G593" s="10">
        <v>25723.75</v>
      </c>
      <c r="H593" s="10">
        <v>172151.25</v>
      </c>
      <c r="I593" s="11">
        <v>189960</v>
      </c>
      <c r="J593" s="12">
        <v>41645</v>
      </c>
    </row>
    <row r="594" spans="1:10" ht="12.75" x14ac:dyDescent="0.2">
      <c r="A594" s="7" t="s">
        <v>97</v>
      </c>
      <c r="B594" s="7" t="s">
        <v>158</v>
      </c>
      <c r="C594" s="8">
        <v>571</v>
      </c>
      <c r="D594" s="9">
        <v>10</v>
      </c>
      <c r="E594" s="8">
        <v>12</v>
      </c>
      <c r="F594" s="10">
        <v>6852</v>
      </c>
      <c r="G594" s="10">
        <v>890.76</v>
      </c>
      <c r="H594" s="10">
        <v>5961.24</v>
      </c>
      <c r="I594" s="11">
        <v>1713</v>
      </c>
      <c r="J594" s="12">
        <v>41646</v>
      </c>
    </row>
    <row r="595" spans="1:10" ht="12.75" x14ac:dyDescent="0.2">
      <c r="A595" s="7" t="s">
        <v>56</v>
      </c>
      <c r="B595" s="7" t="s">
        <v>158</v>
      </c>
      <c r="C595" s="8">
        <v>2696</v>
      </c>
      <c r="D595" s="9">
        <v>10</v>
      </c>
      <c r="E595" s="8">
        <v>7</v>
      </c>
      <c r="F595" s="10">
        <v>18872</v>
      </c>
      <c r="G595" s="10">
        <v>2453.36</v>
      </c>
      <c r="H595" s="10">
        <v>16418.64</v>
      </c>
      <c r="I595" s="11">
        <v>13480</v>
      </c>
      <c r="J595" s="12">
        <v>41647</v>
      </c>
    </row>
    <row r="596" spans="1:10" ht="12.75" x14ac:dyDescent="0.2">
      <c r="A596" s="7" t="s">
        <v>36</v>
      </c>
      <c r="B596" s="7" t="s">
        <v>158</v>
      </c>
      <c r="C596" s="8">
        <v>1565</v>
      </c>
      <c r="D596" s="9">
        <v>10</v>
      </c>
      <c r="E596" s="8">
        <v>15</v>
      </c>
      <c r="F596" s="10">
        <v>23475</v>
      </c>
      <c r="G596" s="10">
        <v>3051.75</v>
      </c>
      <c r="H596" s="10">
        <v>20423.25</v>
      </c>
      <c r="I596" s="11">
        <v>15650</v>
      </c>
      <c r="J596" s="12">
        <v>41649</v>
      </c>
    </row>
    <row r="597" spans="1:10" ht="12.75" x14ac:dyDescent="0.2">
      <c r="A597" s="7" t="s">
        <v>26</v>
      </c>
      <c r="B597" s="7" t="s">
        <v>158</v>
      </c>
      <c r="C597" s="8">
        <v>1249</v>
      </c>
      <c r="D597" s="9">
        <v>10</v>
      </c>
      <c r="E597" s="8">
        <v>20</v>
      </c>
      <c r="F597" s="10">
        <v>24980</v>
      </c>
      <c r="G597" s="10">
        <v>3247.4</v>
      </c>
      <c r="H597" s="10">
        <v>21732.6</v>
      </c>
      <c r="I597" s="11">
        <v>12490</v>
      </c>
      <c r="J597" s="12">
        <v>41649</v>
      </c>
    </row>
    <row r="598" spans="1:10" ht="12.75" x14ac:dyDescent="0.2">
      <c r="A598" s="7" t="s">
        <v>29</v>
      </c>
      <c r="B598" s="7" t="s">
        <v>158</v>
      </c>
      <c r="C598" s="8">
        <v>357</v>
      </c>
      <c r="D598" s="9">
        <v>10</v>
      </c>
      <c r="E598" s="8">
        <v>350</v>
      </c>
      <c r="F598" s="10">
        <v>124950</v>
      </c>
      <c r="G598" s="10">
        <v>16243.5</v>
      </c>
      <c r="H598" s="10">
        <v>108706.5</v>
      </c>
      <c r="I598" s="11">
        <v>92820</v>
      </c>
      <c r="J598" s="12">
        <v>41650</v>
      </c>
    </row>
    <row r="599" spans="1:10" ht="12.75" x14ac:dyDescent="0.2">
      <c r="A599" s="7" t="s">
        <v>30</v>
      </c>
      <c r="B599" s="7" t="s">
        <v>158</v>
      </c>
      <c r="C599" s="8">
        <v>1013</v>
      </c>
      <c r="D599" s="9">
        <v>10</v>
      </c>
      <c r="E599" s="8">
        <v>12</v>
      </c>
      <c r="F599" s="10">
        <v>12156</v>
      </c>
      <c r="G599" s="10">
        <v>1580.28</v>
      </c>
      <c r="H599" s="10">
        <v>10575.72</v>
      </c>
      <c r="I599" s="11">
        <v>3039</v>
      </c>
      <c r="J599" s="12">
        <v>41651</v>
      </c>
    </row>
    <row r="600" spans="1:10" ht="12.75" x14ac:dyDescent="0.2">
      <c r="A600" s="7" t="s">
        <v>164</v>
      </c>
      <c r="B600" s="7" t="s">
        <v>158</v>
      </c>
      <c r="C600" s="8">
        <v>3997.5</v>
      </c>
      <c r="D600" s="9">
        <v>120</v>
      </c>
      <c r="E600" s="8">
        <v>15</v>
      </c>
      <c r="F600" s="10">
        <v>59962.5</v>
      </c>
      <c r="G600" s="10">
        <v>7795.13</v>
      </c>
      <c r="H600" s="10">
        <v>52167.38</v>
      </c>
      <c r="I600" s="11">
        <v>39975</v>
      </c>
      <c r="J600" s="12">
        <v>41640</v>
      </c>
    </row>
    <row r="601" spans="1:10" ht="12.75" x14ac:dyDescent="0.2">
      <c r="A601" s="7" t="s">
        <v>77</v>
      </c>
      <c r="B601" s="7" t="s">
        <v>158</v>
      </c>
      <c r="C601" s="8">
        <v>2632</v>
      </c>
      <c r="D601" s="9">
        <v>120</v>
      </c>
      <c r="E601" s="8">
        <v>350</v>
      </c>
      <c r="F601" s="10">
        <v>921200</v>
      </c>
      <c r="G601" s="10">
        <v>119756</v>
      </c>
      <c r="H601" s="10">
        <v>801444</v>
      </c>
      <c r="I601" s="11">
        <v>684320</v>
      </c>
      <c r="J601" s="12">
        <v>41645</v>
      </c>
    </row>
    <row r="602" spans="1:10" ht="12.75" x14ac:dyDescent="0.2">
      <c r="A602" s="7" t="s">
        <v>58</v>
      </c>
      <c r="B602" s="7" t="s">
        <v>158</v>
      </c>
      <c r="C602" s="8">
        <v>1190</v>
      </c>
      <c r="D602" s="9">
        <v>120</v>
      </c>
      <c r="E602" s="8">
        <v>7</v>
      </c>
      <c r="F602" s="10">
        <v>8330</v>
      </c>
      <c r="G602" s="10">
        <v>1082.9000000000001</v>
      </c>
      <c r="H602" s="10">
        <v>7247.1</v>
      </c>
      <c r="I602" s="11">
        <v>5950</v>
      </c>
      <c r="J602" s="12">
        <v>41645</v>
      </c>
    </row>
    <row r="603" spans="1:10" ht="12.75" x14ac:dyDescent="0.2">
      <c r="A603" s="7" t="s">
        <v>102</v>
      </c>
      <c r="B603" s="7" t="s">
        <v>158</v>
      </c>
      <c r="C603" s="8">
        <v>604</v>
      </c>
      <c r="D603" s="9">
        <v>120</v>
      </c>
      <c r="E603" s="8">
        <v>12</v>
      </c>
      <c r="F603" s="10">
        <v>7248</v>
      </c>
      <c r="G603" s="10">
        <v>942.24</v>
      </c>
      <c r="H603" s="10">
        <v>6305.76</v>
      </c>
      <c r="I603" s="11">
        <v>1812</v>
      </c>
      <c r="J603" s="12">
        <v>41645</v>
      </c>
    </row>
    <row r="604" spans="1:10" ht="12.75" x14ac:dyDescent="0.2">
      <c r="A604" s="7" t="s">
        <v>136</v>
      </c>
      <c r="B604" s="7" t="s">
        <v>158</v>
      </c>
      <c r="C604" s="8">
        <v>660</v>
      </c>
      <c r="D604" s="9">
        <v>120</v>
      </c>
      <c r="E604" s="8">
        <v>15</v>
      </c>
      <c r="F604" s="10">
        <v>9900</v>
      </c>
      <c r="G604" s="10">
        <v>1287</v>
      </c>
      <c r="H604" s="10">
        <v>8613</v>
      </c>
      <c r="I604" s="11">
        <v>6600</v>
      </c>
      <c r="J604" s="12">
        <v>41283</v>
      </c>
    </row>
    <row r="605" spans="1:10" ht="12.75" x14ac:dyDescent="0.2">
      <c r="A605" s="7" t="s">
        <v>102</v>
      </c>
      <c r="B605" s="7" t="s">
        <v>158</v>
      </c>
      <c r="C605" s="8">
        <v>410</v>
      </c>
      <c r="D605" s="9">
        <v>120</v>
      </c>
      <c r="E605" s="8">
        <v>12</v>
      </c>
      <c r="F605" s="10">
        <v>4920</v>
      </c>
      <c r="G605" s="10">
        <v>639.6</v>
      </c>
      <c r="H605" s="10">
        <v>4280.3999999999996</v>
      </c>
      <c r="I605" s="11">
        <v>1230</v>
      </c>
      <c r="J605" s="12">
        <v>41649</v>
      </c>
    </row>
    <row r="606" spans="1:10" ht="12.75" x14ac:dyDescent="0.2">
      <c r="A606" s="7" t="s">
        <v>151</v>
      </c>
      <c r="B606" s="7" t="s">
        <v>158</v>
      </c>
      <c r="C606" s="8">
        <v>2605</v>
      </c>
      <c r="D606" s="9">
        <v>120</v>
      </c>
      <c r="E606" s="8">
        <v>300</v>
      </c>
      <c r="F606" s="10">
        <v>781500</v>
      </c>
      <c r="G606" s="10">
        <v>101595</v>
      </c>
      <c r="H606" s="10">
        <v>679905</v>
      </c>
      <c r="I606" s="11">
        <v>651250</v>
      </c>
      <c r="J606" s="12">
        <v>41285</v>
      </c>
    </row>
    <row r="607" spans="1:10" ht="12.75" x14ac:dyDescent="0.2">
      <c r="A607" s="7" t="s">
        <v>39</v>
      </c>
      <c r="B607" s="7" t="s">
        <v>158</v>
      </c>
      <c r="C607" s="8">
        <v>1013</v>
      </c>
      <c r="D607" s="9">
        <v>120</v>
      </c>
      <c r="E607" s="8">
        <v>12</v>
      </c>
      <c r="F607" s="10">
        <v>12156</v>
      </c>
      <c r="G607" s="10">
        <v>1580.28</v>
      </c>
      <c r="H607" s="10">
        <v>10575.72</v>
      </c>
      <c r="I607" s="11">
        <v>3039</v>
      </c>
      <c r="J607" s="12">
        <v>41651</v>
      </c>
    </row>
    <row r="608" spans="1:10" ht="12.75" x14ac:dyDescent="0.2">
      <c r="A608" s="7" t="s">
        <v>104</v>
      </c>
      <c r="B608" s="7" t="s">
        <v>158</v>
      </c>
      <c r="C608" s="8">
        <v>1583</v>
      </c>
      <c r="D608" s="9">
        <v>250</v>
      </c>
      <c r="E608" s="8">
        <v>125</v>
      </c>
      <c r="F608" s="10">
        <v>197875</v>
      </c>
      <c r="G608" s="10">
        <v>25723.75</v>
      </c>
      <c r="H608" s="10">
        <v>172151.25</v>
      </c>
      <c r="I608" s="11">
        <v>189960</v>
      </c>
      <c r="J608" s="12">
        <v>41645</v>
      </c>
    </row>
    <row r="609" spans="1:10" ht="12.75" x14ac:dyDescent="0.2">
      <c r="A609" s="7" t="s">
        <v>138</v>
      </c>
      <c r="B609" s="7" t="s">
        <v>158</v>
      </c>
      <c r="C609" s="8">
        <v>1565</v>
      </c>
      <c r="D609" s="9">
        <v>250</v>
      </c>
      <c r="E609" s="8">
        <v>15</v>
      </c>
      <c r="F609" s="10">
        <v>23475</v>
      </c>
      <c r="G609" s="10">
        <v>3051.75</v>
      </c>
      <c r="H609" s="10">
        <v>20423.25</v>
      </c>
      <c r="I609" s="11">
        <v>15650</v>
      </c>
      <c r="J609" s="12">
        <v>41649</v>
      </c>
    </row>
    <row r="610" spans="1:10" ht="12.75" x14ac:dyDescent="0.2">
      <c r="A610" s="7" t="s">
        <v>146</v>
      </c>
      <c r="B610" s="7" t="s">
        <v>158</v>
      </c>
      <c r="C610" s="8">
        <v>1659</v>
      </c>
      <c r="D610" s="9">
        <v>260</v>
      </c>
      <c r="E610" s="8">
        <v>125</v>
      </c>
      <c r="F610" s="10">
        <v>207375</v>
      </c>
      <c r="G610" s="10">
        <v>26958.75</v>
      </c>
      <c r="H610" s="10">
        <v>180416.25</v>
      </c>
      <c r="I610" s="11">
        <v>199080</v>
      </c>
      <c r="J610" s="12">
        <v>41640</v>
      </c>
    </row>
    <row r="611" spans="1:10" ht="12.75" x14ac:dyDescent="0.2">
      <c r="A611" s="7" t="s">
        <v>50</v>
      </c>
      <c r="B611" s="7" t="s">
        <v>158</v>
      </c>
      <c r="C611" s="8">
        <v>1190</v>
      </c>
      <c r="D611" s="9">
        <v>260</v>
      </c>
      <c r="E611" s="8">
        <v>7</v>
      </c>
      <c r="F611" s="10">
        <v>8330</v>
      </c>
      <c r="G611" s="10">
        <v>1082.9000000000001</v>
      </c>
      <c r="H611" s="10">
        <v>7247.1</v>
      </c>
      <c r="I611" s="11">
        <v>5950</v>
      </c>
      <c r="J611" s="12">
        <v>41645</v>
      </c>
    </row>
    <row r="612" spans="1:10" ht="12.75" x14ac:dyDescent="0.2">
      <c r="A612" s="7" t="s">
        <v>126</v>
      </c>
      <c r="B612" s="7" t="s">
        <v>158</v>
      </c>
      <c r="C612" s="8">
        <v>410</v>
      </c>
      <c r="D612" s="9">
        <v>260</v>
      </c>
      <c r="E612" s="8">
        <v>12</v>
      </c>
      <c r="F612" s="10">
        <v>4920</v>
      </c>
      <c r="G612" s="10">
        <v>639.6</v>
      </c>
      <c r="H612" s="10">
        <v>4280.3999999999996</v>
      </c>
      <c r="I612" s="11">
        <v>1230</v>
      </c>
      <c r="J612" s="12">
        <v>41649</v>
      </c>
    </row>
    <row r="613" spans="1:10" ht="12.75" x14ac:dyDescent="0.2">
      <c r="A613" s="7" t="s">
        <v>161</v>
      </c>
      <c r="B613" s="7" t="s">
        <v>158</v>
      </c>
      <c r="C613" s="8">
        <v>1770</v>
      </c>
      <c r="D613" s="9">
        <v>260</v>
      </c>
      <c r="E613" s="8">
        <v>12</v>
      </c>
      <c r="F613" s="10">
        <v>21240</v>
      </c>
      <c r="G613" s="10">
        <v>2761.2</v>
      </c>
      <c r="H613" s="10">
        <v>18478.8</v>
      </c>
      <c r="I613" s="11">
        <v>5310</v>
      </c>
      <c r="J613" s="12">
        <v>41286</v>
      </c>
    </row>
    <row r="614" spans="1:10" ht="12.75" x14ac:dyDescent="0.2">
      <c r="A614" s="7" t="s">
        <v>60</v>
      </c>
      <c r="B614" s="7" t="s">
        <v>158</v>
      </c>
      <c r="C614" s="8">
        <v>2579</v>
      </c>
      <c r="D614" s="9">
        <v>3</v>
      </c>
      <c r="E614" s="8">
        <v>20</v>
      </c>
      <c r="F614" s="10">
        <v>51580</v>
      </c>
      <c r="G614" s="10">
        <v>7221.2</v>
      </c>
      <c r="H614" s="10">
        <v>44358.8</v>
      </c>
      <c r="I614" s="11">
        <v>25790</v>
      </c>
      <c r="J614" s="12">
        <v>41643</v>
      </c>
    </row>
    <row r="615" spans="1:10" ht="12.75" x14ac:dyDescent="0.2">
      <c r="A615" s="7" t="s">
        <v>61</v>
      </c>
      <c r="B615" s="7" t="s">
        <v>158</v>
      </c>
      <c r="C615" s="8">
        <v>1743</v>
      </c>
      <c r="D615" s="9">
        <v>3</v>
      </c>
      <c r="E615" s="8">
        <v>20</v>
      </c>
      <c r="F615" s="10">
        <v>34860</v>
      </c>
      <c r="G615" s="10">
        <v>4880.3999999999996</v>
      </c>
      <c r="H615" s="10">
        <v>29979.599999999999</v>
      </c>
      <c r="I615" s="11">
        <v>17430</v>
      </c>
      <c r="J615" s="12">
        <v>41644</v>
      </c>
    </row>
    <row r="616" spans="1:10" ht="12.75" x14ac:dyDescent="0.2">
      <c r="A616" s="7" t="s">
        <v>61</v>
      </c>
      <c r="B616" s="7" t="s">
        <v>158</v>
      </c>
      <c r="C616" s="8">
        <v>2996</v>
      </c>
      <c r="D616" s="9">
        <v>3</v>
      </c>
      <c r="E616" s="8">
        <v>7</v>
      </c>
      <c r="F616" s="10">
        <v>20972</v>
      </c>
      <c r="G616" s="10">
        <v>2936.08</v>
      </c>
      <c r="H616" s="10">
        <v>18035.919999999998</v>
      </c>
      <c r="I616" s="11">
        <v>14980</v>
      </c>
      <c r="J616" s="12">
        <v>41284</v>
      </c>
    </row>
    <row r="617" spans="1:10" ht="12.75" x14ac:dyDescent="0.2">
      <c r="A617" s="7" t="s">
        <v>13</v>
      </c>
      <c r="B617" s="7" t="s">
        <v>158</v>
      </c>
      <c r="C617" s="8">
        <v>280</v>
      </c>
      <c r="D617" s="9">
        <v>3</v>
      </c>
      <c r="E617" s="8">
        <v>7</v>
      </c>
      <c r="F617" s="10">
        <v>1960</v>
      </c>
      <c r="G617" s="10">
        <v>274.39999999999998</v>
      </c>
      <c r="H617" s="10">
        <v>1685.6</v>
      </c>
      <c r="I617" s="11">
        <v>1400</v>
      </c>
      <c r="J617" s="12">
        <v>41651</v>
      </c>
    </row>
    <row r="618" spans="1:10" ht="12.75" x14ac:dyDescent="0.2">
      <c r="A618" s="7" t="s">
        <v>19</v>
      </c>
      <c r="B618" s="7" t="s">
        <v>158</v>
      </c>
      <c r="C618" s="8">
        <v>293</v>
      </c>
      <c r="D618" s="9">
        <v>5</v>
      </c>
      <c r="E618" s="8">
        <v>7</v>
      </c>
      <c r="F618" s="10">
        <v>2051</v>
      </c>
      <c r="G618" s="10">
        <v>287.14</v>
      </c>
      <c r="H618" s="10">
        <v>1763.86</v>
      </c>
      <c r="I618" s="11">
        <v>1465</v>
      </c>
      <c r="J618" s="12">
        <v>41641</v>
      </c>
    </row>
    <row r="619" spans="1:10" ht="12.75" x14ac:dyDescent="0.2">
      <c r="A619" s="7" t="s">
        <v>88</v>
      </c>
      <c r="B619" s="7" t="s">
        <v>158</v>
      </c>
      <c r="C619" s="8">
        <v>2996</v>
      </c>
      <c r="D619" s="9">
        <v>5</v>
      </c>
      <c r="E619" s="8">
        <v>7</v>
      </c>
      <c r="F619" s="10">
        <v>20972</v>
      </c>
      <c r="G619" s="10">
        <v>2936.08</v>
      </c>
      <c r="H619" s="10">
        <v>18035.919999999998</v>
      </c>
      <c r="I619" s="11">
        <v>14980</v>
      </c>
      <c r="J619" s="12">
        <v>41284</v>
      </c>
    </row>
    <row r="620" spans="1:10" ht="12.75" x14ac:dyDescent="0.2">
      <c r="A620" s="7" t="s">
        <v>75</v>
      </c>
      <c r="B620" s="7" t="s">
        <v>158</v>
      </c>
      <c r="C620" s="8">
        <v>278</v>
      </c>
      <c r="D620" s="9">
        <v>10</v>
      </c>
      <c r="E620" s="8">
        <v>15</v>
      </c>
      <c r="F620" s="10">
        <v>4170</v>
      </c>
      <c r="G620" s="10">
        <v>583.79999999999995</v>
      </c>
      <c r="H620" s="10">
        <v>3586.2</v>
      </c>
      <c r="I620" s="11">
        <v>2780</v>
      </c>
      <c r="J620" s="12">
        <v>41641</v>
      </c>
    </row>
    <row r="621" spans="1:10" ht="12.75" x14ac:dyDescent="0.2">
      <c r="A621" s="7" t="s">
        <v>26</v>
      </c>
      <c r="B621" s="7" t="s">
        <v>158</v>
      </c>
      <c r="C621" s="8">
        <v>2428</v>
      </c>
      <c r="D621" s="9">
        <v>10</v>
      </c>
      <c r="E621" s="8">
        <v>20</v>
      </c>
      <c r="F621" s="10">
        <v>48560</v>
      </c>
      <c r="G621" s="10">
        <v>6798.4</v>
      </c>
      <c r="H621" s="10">
        <v>41761.599999999999</v>
      </c>
      <c r="I621" s="11">
        <v>24280</v>
      </c>
      <c r="J621" s="12">
        <v>41642</v>
      </c>
    </row>
    <row r="622" spans="1:10" ht="12.75" x14ac:dyDescent="0.2">
      <c r="A622" s="7" t="s">
        <v>71</v>
      </c>
      <c r="B622" s="7" t="s">
        <v>158</v>
      </c>
      <c r="C622" s="8">
        <v>1767</v>
      </c>
      <c r="D622" s="9">
        <v>10</v>
      </c>
      <c r="E622" s="8">
        <v>15</v>
      </c>
      <c r="F622" s="10">
        <v>26505</v>
      </c>
      <c r="G622" s="10">
        <v>3710.7</v>
      </c>
      <c r="H622" s="10">
        <v>22794.3</v>
      </c>
      <c r="I622" s="11">
        <v>17670</v>
      </c>
      <c r="J622" s="12">
        <v>41648</v>
      </c>
    </row>
    <row r="623" spans="1:10" ht="12.75" x14ac:dyDescent="0.2">
      <c r="A623" s="7" t="s">
        <v>94</v>
      </c>
      <c r="B623" s="7" t="s">
        <v>158</v>
      </c>
      <c r="C623" s="8">
        <v>1393</v>
      </c>
      <c r="D623" s="9">
        <v>10</v>
      </c>
      <c r="E623" s="8">
        <v>12</v>
      </c>
      <c r="F623" s="10">
        <v>16716</v>
      </c>
      <c r="G623" s="10">
        <v>2340.2399999999998</v>
      </c>
      <c r="H623" s="10">
        <v>14375.76</v>
      </c>
      <c r="I623" s="11">
        <v>4179</v>
      </c>
      <c r="J623" s="12">
        <v>41649</v>
      </c>
    </row>
    <row r="624" spans="1:10" ht="12.75" x14ac:dyDescent="0.2">
      <c r="A624" s="7" t="s">
        <v>78</v>
      </c>
      <c r="B624" s="7" t="s">
        <v>158</v>
      </c>
      <c r="C624" s="8">
        <v>280</v>
      </c>
      <c r="D624" s="9">
        <v>250</v>
      </c>
      <c r="E624" s="8">
        <v>7</v>
      </c>
      <c r="F624" s="10">
        <v>1960</v>
      </c>
      <c r="G624" s="10">
        <v>274.39999999999998</v>
      </c>
      <c r="H624" s="10">
        <v>1685.6</v>
      </c>
      <c r="I624" s="11">
        <v>1400</v>
      </c>
      <c r="J624" s="12">
        <v>41651</v>
      </c>
    </row>
    <row r="625" spans="1:10" ht="12.75" x14ac:dyDescent="0.2">
      <c r="A625" s="7" t="s">
        <v>157</v>
      </c>
      <c r="B625" s="7" t="s">
        <v>158</v>
      </c>
      <c r="C625" s="8">
        <v>1393</v>
      </c>
      <c r="D625" s="9">
        <v>260</v>
      </c>
      <c r="E625" s="8">
        <v>12</v>
      </c>
      <c r="F625" s="10">
        <v>16716</v>
      </c>
      <c r="G625" s="10">
        <v>2340.2399999999998</v>
      </c>
      <c r="H625" s="10">
        <v>14375.76</v>
      </c>
      <c r="I625" s="11">
        <v>4179</v>
      </c>
      <c r="J625" s="12">
        <v>41649</v>
      </c>
    </row>
    <row r="626" spans="1:10" ht="12.75" x14ac:dyDescent="0.2">
      <c r="A626" s="7" t="s">
        <v>51</v>
      </c>
      <c r="B626" s="7" t="s">
        <v>158</v>
      </c>
      <c r="C626" s="8">
        <v>2015</v>
      </c>
      <c r="D626" s="9">
        <v>260</v>
      </c>
      <c r="E626" s="8">
        <v>12</v>
      </c>
      <c r="F626" s="10">
        <v>24180</v>
      </c>
      <c r="G626" s="10">
        <v>3385.2</v>
      </c>
      <c r="H626" s="10">
        <v>20794.8</v>
      </c>
      <c r="I626" s="11">
        <v>6045</v>
      </c>
      <c r="J626" s="12">
        <v>41286</v>
      </c>
    </row>
    <row r="627" spans="1:10" ht="12.75" x14ac:dyDescent="0.2">
      <c r="A627" s="7" t="s">
        <v>66</v>
      </c>
      <c r="B627" s="7" t="s">
        <v>158</v>
      </c>
      <c r="C627" s="8">
        <v>801</v>
      </c>
      <c r="D627" s="9">
        <v>3</v>
      </c>
      <c r="E627" s="8">
        <v>300</v>
      </c>
      <c r="F627" s="10">
        <v>240300</v>
      </c>
      <c r="G627" s="10">
        <v>33642</v>
      </c>
      <c r="H627" s="10">
        <v>206658</v>
      </c>
      <c r="I627" s="11">
        <v>200250</v>
      </c>
      <c r="J627" s="12">
        <v>41646</v>
      </c>
    </row>
    <row r="628" spans="1:10" ht="12.75" x14ac:dyDescent="0.2">
      <c r="A628" s="7" t="s">
        <v>109</v>
      </c>
      <c r="B628" s="7" t="s">
        <v>158</v>
      </c>
      <c r="C628" s="8">
        <v>1023</v>
      </c>
      <c r="D628" s="9">
        <v>3</v>
      </c>
      <c r="E628" s="8">
        <v>125</v>
      </c>
      <c r="F628" s="10">
        <v>127875</v>
      </c>
      <c r="G628" s="10">
        <v>17902.5</v>
      </c>
      <c r="H628" s="10">
        <v>109972.5</v>
      </c>
      <c r="I628" s="11">
        <v>122760</v>
      </c>
      <c r="J628" s="12">
        <v>41283</v>
      </c>
    </row>
    <row r="629" spans="1:10" ht="12.75" x14ac:dyDescent="0.2">
      <c r="A629" s="7" t="s">
        <v>153</v>
      </c>
      <c r="B629" s="7" t="s">
        <v>158</v>
      </c>
      <c r="C629" s="8">
        <v>1496</v>
      </c>
      <c r="D629" s="9">
        <v>3</v>
      </c>
      <c r="E629" s="8">
        <v>300</v>
      </c>
      <c r="F629" s="10">
        <v>448800</v>
      </c>
      <c r="G629" s="10">
        <v>62832</v>
      </c>
      <c r="H629" s="10">
        <v>385968</v>
      </c>
      <c r="I629" s="11">
        <v>374000</v>
      </c>
      <c r="J629" s="12">
        <v>41649</v>
      </c>
    </row>
    <row r="630" spans="1:10" ht="12.75" x14ac:dyDescent="0.2">
      <c r="A630" s="7" t="s">
        <v>127</v>
      </c>
      <c r="B630" s="7" t="s">
        <v>158</v>
      </c>
      <c r="C630" s="8">
        <v>1010</v>
      </c>
      <c r="D630" s="9">
        <v>3</v>
      </c>
      <c r="E630" s="8">
        <v>300</v>
      </c>
      <c r="F630" s="10">
        <v>303000</v>
      </c>
      <c r="G630" s="10">
        <v>42420</v>
      </c>
      <c r="H630" s="10">
        <v>260580</v>
      </c>
      <c r="I630" s="11">
        <v>252500</v>
      </c>
      <c r="J630" s="12">
        <v>41649</v>
      </c>
    </row>
    <row r="631" spans="1:10" ht="12.75" x14ac:dyDescent="0.2">
      <c r="A631" s="7" t="s">
        <v>15</v>
      </c>
      <c r="B631" s="7" t="s">
        <v>158</v>
      </c>
      <c r="C631" s="8">
        <v>1513</v>
      </c>
      <c r="D631" s="9">
        <v>3</v>
      </c>
      <c r="E631" s="8">
        <v>15</v>
      </c>
      <c r="F631" s="10">
        <v>22695</v>
      </c>
      <c r="G631" s="10">
        <v>3177.3</v>
      </c>
      <c r="H631" s="10">
        <v>19517.7</v>
      </c>
      <c r="I631" s="11">
        <v>15130</v>
      </c>
      <c r="J631" s="12">
        <v>41650</v>
      </c>
    </row>
    <row r="632" spans="1:10" ht="12.75" x14ac:dyDescent="0.2">
      <c r="A632" s="7" t="s">
        <v>132</v>
      </c>
      <c r="B632" s="7" t="s">
        <v>158</v>
      </c>
      <c r="C632" s="8">
        <v>2300</v>
      </c>
      <c r="D632" s="9">
        <v>3</v>
      </c>
      <c r="E632" s="8">
        <v>15</v>
      </c>
      <c r="F632" s="10">
        <v>34500</v>
      </c>
      <c r="G632" s="10">
        <v>4830</v>
      </c>
      <c r="H632" s="10">
        <v>29670</v>
      </c>
      <c r="I632" s="11">
        <v>23000</v>
      </c>
      <c r="J632" s="12">
        <v>41651</v>
      </c>
    </row>
    <row r="633" spans="1:10" ht="12.75" x14ac:dyDescent="0.2">
      <c r="A633" s="7" t="s">
        <v>148</v>
      </c>
      <c r="B633" s="7" t="s">
        <v>158</v>
      </c>
      <c r="C633" s="8">
        <v>2821</v>
      </c>
      <c r="D633" s="9">
        <v>3</v>
      </c>
      <c r="E633" s="8">
        <v>125</v>
      </c>
      <c r="F633" s="10">
        <v>352625</v>
      </c>
      <c r="G633" s="10">
        <v>49367.5</v>
      </c>
      <c r="H633" s="10">
        <v>303257.5</v>
      </c>
      <c r="I633" s="11">
        <v>338520</v>
      </c>
      <c r="J633" s="12">
        <v>41286</v>
      </c>
    </row>
    <row r="634" spans="1:10" ht="12.75" x14ac:dyDescent="0.2">
      <c r="A634" s="7" t="s">
        <v>69</v>
      </c>
      <c r="B634" s="7" t="s">
        <v>158</v>
      </c>
      <c r="C634" s="8">
        <v>2227.5</v>
      </c>
      <c r="D634" s="9">
        <v>5</v>
      </c>
      <c r="E634" s="8">
        <v>350</v>
      </c>
      <c r="F634" s="10">
        <v>779625</v>
      </c>
      <c r="G634" s="10">
        <v>109147.5</v>
      </c>
      <c r="H634" s="10">
        <v>670477.5</v>
      </c>
      <c r="I634" s="11">
        <v>579150</v>
      </c>
      <c r="J634" s="12">
        <v>41640</v>
      </c>
    </row>
    <row r="635" spans="1:10" ht="12.75" x14ac:dyDescent="0.2">
      <c r="A635" s="7" t="s">
        <v>24</v>
      </c>
      <c r="B635" s="7" t="s">
        <v>158</v>
      </c>
      <c r="C635" s="8">
        <v>1199</v>
      </c>
      <c r="D635" s="9">
        <v>5</v>
      </c>
      <c r="E635" s="8">
        <v>350</v>
      </c>
      <c r="F635" s="10">
        <v>419650</v>
      </c>
      <c r="G635" s="10">
        <v>58751</v>
      </c>
      <c r="H635" s="10">
        <v>360899</v>
      </c>
      <c r="I635" s="11">
        <v>311740</v>
      </c>
      <c r="J635" s="12">
        <v>41643</v>
      </c>
    </row>
    <row r="636" spans="1:10" ht="12.75" x14ac:dyDescent="0.2">
      <c r="A636" s="7" t="s">
        <v>69</v>
      </c>
      <c r="B636" s="7" t="s">
        <v>158</v>
      </c>
      <c r="C636" s="8">
        <v>200</v>
      </c>
      <c r="D636" s="9">
        <v>5</v>
      </c>
      <c r="E636" s="8">
        <v>350</v>
      </c>
      <c r="F636" s="10">
        <v>70000</v>
      </c>
      <c r="G636" s="10">
        <v>9800</v>
      </c>
      <c r="H636" s="10">
        <v>60200</v>
      </c>
      <c r="I636" s="11">
        <v>52000</v>
      </c>
      <c r="J636" s="12">
        <v>41644</v>
      </c>
    </row>
    <row r="637" spans="1:10" ht="12.75" x14ac:dyDescent="0.2">
      <c r="A637" s="7" t="s">
        <v>69</v>
      </c>
      <c r="B637" s="7" t="s">
        <v>158</v>
      </c>
      <c r="C637" s="8">
        <v>388</v>
      </c>
      <c r="D637" s="9">
        <v>5</v>
      </c>
      <c r="E637" s="8">
        <v>7</v>
      </c>
      <c r="F637" s="10">
        <v>2716</v>
      </c>
      <c r="G637" s="10">
        <v>380.24</v>
      </c>
      <c r="H637" s="10">
        <v>2335.7600000000002</v>
      </c>
      <c r="I637" s="11">
        <v>1940</v>
      </c>
      <c r="J637" s="12">
        <v>41648</v>
      </c>
    </row>
    <row r="638" spans="1:10" ht="12.75" x14ac:dyDescent="0.2">
      <c r="A638" s="7" t="s">
        <v>128</v>
      </c>
      <c r="B638" s="7" t="s">
        <v>158</v>
      </c>
      <c r="C638" s="8">
        <v>1727</v>
      </c>
      <c r="D638" s="9">
        <v>5</v>
      </c>
      <c r="E638" s="8">
        <v>7</v>
      </c>
      <c r="F638" s="10">
        <v>12089</v>
      </c>
      <c r="G638" s="10">
        <v>1692.46</v>
      </c>
      <c r="H638" s="10">
        <v>10396.540000000001</v>
      </c>
      <c r="I638" s="11">
        <v>8635</v>
      </c>
      <c r="J638" s="12">
        <v>41284</v>
      </c>
    </row>
    <row r="639" spans="1:10" ht="12.75" x14ac:dyDescent="0.2">
      <c r="A639" s="7" t="s">
        <v>116</v>
      </c>
      <c r="B639" s="7" t="s">
        <v>158</v>
      </c>
      <c r="C639" s="8">
        <v>2300</v>
      </c>
      <c r="D639" s="9">
        <v>5</v>
      </c>
      <c r="E639" s="8">
        <v>15</v>
      </c>
      <c r="F639" s="10">
        <v>34500</v>
      </c>
      <c r="G639" s="10">
        <v>4830</v>
      </c>
      <c r="H639" s="10">
        <v>29670</v>
      </c>
      <c r="I639" s="11">
        <v>23000</v>
      </c>
      <c r="J639" s="12">
        <v>41651</v>
      </c>
    </row>
    <row r="640" spans="1:10" ht="12.75" x14ac:dyDescent="0.2">
      <c r="A640" s="7" t="s">
        <v>31</v>
      </c>
      <c r="B640" s="7" t="s">
        <v>158</v>
      </c>
      <c r="C640" s="8">
        <v>260</v>
      </c>
      <c r="D640" s="9">
        <v>10</v>
      </c>
      <c r="E640" s="8">
        <v>20</v>
      </c>
      <c r="F640" s="10">
        <v>5200</v>
      </c>
      <c r="G640" s="10">
        <v>728</v>
      </c>
      <c r="H640" s="10">
        <v>4472</v>
      </c>
      <c r="I640" s="11">
        <v>2600</v>
      </c>
      <c r="J640" s="12">
        <v>41641</v>
      </c>
    </row>
    <row r="641" spans="1:10" ht="12.75" x14ac:dyDescent="0.2">
      <c r="A641" s="7" t="s">
        <v>36</v>
      </c>
      <c r="B641" s="7" t="s">
        <v>158</v>
      </c>
      <c r="C641" s="8">
        <v>2470</v>
      </c>
      <c r="D641" s="9">
        <v>10</v>
      </c>
      <c r="E641" s="8">
        <v>15</v>
      </c>
      <c r="F641" s="10">
        <v>37050</v>
      </c>
      <c r="G641" s="10">
        <v>5187</v>
      </c>
      <c r="H641" s="10">
        <v>31863</v>
      </c>
      <c r="I641" s="11">
        <v>24700</v>
      </c>
      <c r="J641" s="12">
        <v>41283</v>
      </c>
    </row>
    <row r="642" spans="1:10" ht="12.75" x14ac:dyDescent="0.2">
      <c r="A642" s="7" t="s">
        <v>36</v>
      </c>
      <c r="B642" s="7" t="s">
        <v>158</v>
      </c>
      <c r="C642" s="8">
        <v>1743</v>
      </c>
      <c r="D642" s="9">
        <v>10</v>
      </c>
      <c r="E642" s="8">
        <v>15</v>
      </c>
      <c r="F642" s="10">
        <v>26145</v>
      </c>
      <c r="G642" s="10">
        <v>3660.3</v>
      </c>
      <c r="H642" s="10">
        <v>22484.7</v>
      </c>
      <c r="I642" s="11">
        <v>17430</v>
      </c>
      <c r="J642" s="12">
        <v>41284</v>
      </c>
    </row>
    <row r="643" spans="1:10" ht="12.75" x14ac:dyDescent="0.2">
      <c r="A643" s="7" t="s">
        <v>35</v>
      </c>
      <c r="B643" s="7" t="s">
        <v>158</v>
      </c>
      <c r="C643" s="8">
        <v>2914</v>
      </c>
      <c r="D643" s="9">
        <v>10</v>
      </c>
      <c r="E643" s="8">
        <v>12</v>
      </c>
      <c r="F643" s="10">
        <v>34968</v>
      </c>
      <c r="G643" s="10">
        <v>4895.5200000000004</v>
      </c>
      <c r="H643" s="10">
        <v>30072.48</v>
      </c>
      <c r="I643" s="11">
        <v>8742</v>
      </c>
      <c r="J643" s="12">
        <v>41649</v>
      </c>
    </row>
    <row r="644" spans="1:10" ht="12.75" x14ac:dyDescent="0.2">
      <c r="A644" s="7" t="s">
        <v>56</v>
      </c>
      <c r="B644" s="7" t="s">
        <v>158</v>
      </c>
      <c r="C644" s="8">
        <v>1731</v>
      </c>
      <c r="D644" s="9">
        <v>10</v>
      </c>
      <c r="E644" s="8">
        <v>7</v>
      </c>
      <c r="F644" s="10">
        <v>12117</v>
      </c>
      <c r="G644" s="10">
        <v>1696.38</v>
      </c>
      <c r="H644" s="10">
        <v>10420.620000000001</v>
      </c>
      <c r="I644" s="11">
        <v>8655</v>
      </c>
      <c r="J644" s="12">
        <v>41649</v>
      </c>
    </row>
    <row r="645" spans="1:10" ht="12.75" x14ac:dyDescent="0.2">
      <c r="A645" s="7" t="s">
        <v>26</v>
      </c>
      <c r="B645" s="7" t="s">
        <v>158</v>
      </c>
      <c r="C645" s="8">
        <v>700</v>
      </c>
      <c r="D645" s="9">
        <v>10</v>
      </c>
      <c r="E645" s="8">
        <v>350</v>
      </c>
      <c r="F645" s="10">
        <v>245000</v>
      </c>
      <c r="G645" s="10">
        <v>34300</v>
      </c>
      <c r="H645" s="10">
        <v>210700</v>
      </c>
      <c r="I645" s="11">
        <v>182000</v>
      </c>
      <c r="J645" s="12">
        <v>41650</v>
      </c>
    </row>
    <row r="646" spans="1:10" ht="12.75" x14ac:dyDescent="0.2">
      <c r="A646" s="7" t="s">
        <v>28</v>
      </c>
      <c r="B646" s="7" t="s">
        <v>158</v>
      </c>
      <c r="C646" s="8">
        <v>2222</v>
      </c>
      <c r="D646" s="9">
        <v>10</v>
      </c>
      <c r="E646" s="8">
        <v>12</v>
      </c>
      <c r="F646" s="10">
        <v>26664</v>
      </c>
      <c r="G646" s="10">
        <v>3732.96</v>
      </c>
      <c r="H646" s="10">
        <v>22931.040000000001</v>
      </c>
      <c r="I646" s="11">
        <v>6666</v>
      </c>
      <c r="J646" s="12">
        <v>41285</v>
      </c>
    </row>
    <row r="647" spans="1:10" ht="12.75" x14ac:dyDescent="0.2">
      <c r="A647" s="7" t="s">
        <v>34</v>
      </c>
      <c r="B647" s="7" t="s">
        <v>158</v>
      </c>
      <c r="C647" s="8">
        <v>1177</v>
      </c>
      <c r="D647" s="9">
        <v>10</v>
      </c>
      <c r="E647" s="8">
        <v>350</v>
      </c>
      <c r="F647" s="10">
        <v>411950</v>
      </c>
      <c r="G647" s="10">
        <v>57673</v>
      </c>
      <c r="H647" s="10">
        <v>354277</v>
      </c>
      <c r="I647" s="11">
        <v>306020</v>
      </c>
      <c r="J647" s="12">
        <v>41650</v>
      </c>
    </row>
    <row r="648" spans="1:10" ht="12.75" x14ac:dyDescent="0.2">
      <c r="A648" s="7" t="s">
        <v>56</v>
      </c>
      <c r="B648" s="7" t="s">
        <v>158</v>
      </c>
      <c r="C648" s="8">
        <v>1922</v>
      </c>
      <c r="D648" s="9">
        <v>10</v>
      </c>
      <c r="E648" s="8">
        <v>350</v>
      </c>
      <c r="F648" s="10">
        <v>672700</v>
      </c>
      <c r="G648" s="10">
        <v>94178</v>
      </c>
      <c r="H648" s="10">
        <v>578522</v>
      </c>
      <c r="I648" s="11">
        <v>499720</v>
      </c>
      <c r="J648" s="12">
        <v>41285</v>
      </c>
    </row>
    <row r="649" spans="1:10" ht="12.75" x14ac:dyDescent="0.2">
      <c r="A649" s="7" t="s">
        <v>100</v>
      </c>
      <c r="B649" s="7" t="s">
        <v>158</v>
      </c>
      <c r="C649" s="8">
        <v>1575</v>
      </c>
      <c r="D649" s="9">
        <v>120</v>
      </c>
      <c r="E649" s="8">
        <v>125</v>
      </c>
      <c r="F649" s="10">
        <v>196875</v>
      </c>
      <c r="G649" s="10">
        <v>27562.5</v>
      </c>
      <c r="H649" s="10">
        <v>169312.5</v>
      </c>
      <c r="I649" s="11">
        <v>189000</v>
      </c>
      <c r="J649" s="12">
        <v>41641</v>
      </c>
    </row>
    <row r="650" spans="1:10" ht="12.75" x14ac:dyDescent="0.2">
      <c r="A650" s="7" t="s">
        <v>98</v>
      </c>
      <c r="B650" s="7" t="s">
        <v>158</v>
      </c>
      <c r="C650" s="8">
        <v>606</v>
      </c>
      <c r="D650" s="9">
        <v>120</v>
      </c>
      <c r="E650" s="8">
        <v>20</v>
      </c>
      <c r="F650" s="10">
        <v>12120</v>
      </c>
      <c r="G650" s="10">
        <v>1696.8</v>
      </c>
      <c r="H650" s="10">
        <v>10423.200000000001</v>
      </c>
      <c r="I650" s="11">
        <v>6060</v>
      </c>
      <c r="J650" s="12">
        <v>41643</v>
      </c>
    </row>
    <row r="651" spans="1:10" ht="12.75" x14ac:dyDescent="0.2">
      <c r="A651" s="7" t="s">
        <v>144</v>
      </c>
      <c r="B651" s="7" t="s">
        <v>158</v>
      </c>
      <c r="C651" s="8">
        <v>2460</v>
      </c>
      <c r="D651" s="9">
        <v>120</v>
      </c>
      <c r="E651" s="8">
        <v>300</v>
      </c>
      <c r="F651" s="10">
        <v>738000</v>
      </c>
      <c r="G651" s="10">
        <v>103320</v>
      </c>
      <c r="H651" s="10">
        <v>634680</v>
      </c>
      <c r="I651" s="11">
        <v>615000</v>
      </c>
      <c r="J651" s="12">
        <v>41646</v>
      </c>
    </row>
    <row r="652" spans="1:10" ht="12.75" x14ac:dyDescent="0.2">
      <c r="A652" s="7" t="s">
        <v>154</v>
      </c>
      <c r="B652" s="7" t="s">
        <v>158</v>
      </c>
      <c r="C652" s="8">
        <v>269</v>
      </c>
      <c r="D652" s="9">
        <v>120</v>
      </c>
      <c r="E652" s="8">
        <v>300</v>
      </c>
      <c r="F652" s="10">
        <v>80700</v>
      </c>
      <c r="G652" s="10">
        <v>11298</v>
      </c>
      <c r="H652" s="10">
        <v>69402</v>
      </c>
      <c r="I652" s="11">
        <v>67250</v>
      </c>
      <c r="J652" s="12">
        <v>41284</v>
      </c>
    </row>
    <row r="653" spans="1:10" ht="12.75" x14ac:dyDescent="0.2">
      <c r="A653" s="7" t="s">
        <v>131</v>
      </c>
      <c r="B653" s="7" t="s">
        <v>158</v>
      </c>
      <c r="C653" s="8">
        <v>2536</v>
      </c>
      <c r="D653" s="9">
        <v>120</v>
      </c>
      <c r="E653" s="8">
        <v>300</v>
      </c>
      <c r="F653" s="10">
        <v>760800</v>
      </c>
      <c r="G653" s="10">
        <v>106512</v>
      </c>
      <c r="H653" s="10">
        <v>654288</v>
      </c>
      <c r="I653" s="11">
        <v>634000</v>
      </c>
      <c r="J653" s="12">
        <v>41285</v>
      </c>
    </row>
    <row r="654" spans="1:10" ht="12.75" x14ac:dyDescent="0.2">
      <c r="A654" s="7" t="s">
        <v>83</v>
      </c>
      <c r="B654" s="7" t="s">
        <v>158</v>
      </c>
      <c r="C654" s="8">
        <v>2903</v>
      </c>
      <c r="D654" s="9">
        <v>250</v>
      </c>
      <c r="E654" s="8">
        <v>7</v>
      </c>
      <c r="F654" s="10">
        <v>20321</v>
      </c>
      <c r="G654" s="10">
        <v>2844.94</v>
      </c>
      <c r="H654" s="10">
        <v>17476.060000000001</v>
      </c>
      <c r="I654" s="11">
        <v>14515</v>
      </c>
      <c r="J654" s="12">
        <v>41642</v>
      </c>
    </row>
    <row r="655" spans="1:10" ht="12.75" x14ac:dyDescent="0.2">
      <c r="A655" s="7" t="s">
        <v>113</v>
      </c>
      <c r="B655" s="7" t="s">
        <v>158</v>
      </c>
      <c r="C655" s="8">
        <v>2541</v>
      </c>
      <c r="D655" s="9">
        <v>250</v>
      </c>
      <c r="E655" s="8">
        <v>300</v>
      </c>
      <c r="F655" s="10">
        <v>762300</v>
      </c>
      <c r="G655" s="10">
        <v>106722</v>
      </c>
      <c r="H655" s="10">
        <v>655578</v>
      </c>
      <c r="I655" s="11">
        <v>635250</v>
      </c>
      <c r="J655" s="12">
        <v>41647</v>
      </c>
    </row>
    <row r="656" spans="1:10" ht="12.75" x14ac:dyDescent="0.2">
      <c r="A656" s="7" t="s">
        <v>43</v>
      </c>
      <c r="B656" s="7" t="s">
        <v>158</v>
      </c>
      <c r="C656" s="8">
        <v>269</v>
      </c>
      <c r="D656" s="9">
        <v>250</v>
      </c>
      <c r="E656" s="8">
        <v>300</v>
      </c>
      <c r="F656" s="10">
        <v>80700</v>
      </c>
      <c r="G656" s="10">
        <v>11298</v>
      </c>
      <c r="H656" s="10">
        <v>69402</v>
      </c>
      <c r="I656" s="11">
        <v>67250</v>
      </c>
      <c r="J656" s="12">
        <v>41284</v>
      </c>
    </row>
    <row r="657" spans="1:10" ht="12.75" x14ac:dyDescent="0.2">
      <c r="A657" s="7" t="s">
        <v>43</v>
      </c>
      <c r="B657" s="7" t="s">
        <v>158</v>
      </c>
      <c r="C657" s="8">
        <v>1496</v>
      </c>
      <c r="D657" s="9">
        <v>250</v>
      </c>
      <c r="E657" s="8">
        <v>300</v>
      </c>
      <c r="F657" s="10">
        <v>448800</v>
      </c>
      <c r="G657" s="10">
        <v>62832</v>
      </c>
      <c r="H657" s="10">
        <v>385968</v>
      </c>
      <c r="I657" s="11">
        <v>374000</v>
      </c>
      <c r="J657" s="12">
        <v>41649</v>
      </c>
    </row>
    <row r="658" spans="1:10" ht="12.75" x14ac:dyDescent="0.2">
      <c r="A658" s="7" t="s">
        <v>113</v>
      </c>
      <c r="B658" s="7" t="s">
        <v>158</v>
      </c>
      <c r="C658" s="8">
        <v>1010</v>
      </c>
      <c r="D658" s="9">
        <v>250</v>
      </c>
      <c r="E658" s="8">
        <v>300</v>
      </c>
      <c r="F658" s="10">
        <v>303000</v>
      </c>
      <c r="G658" s="10">
        <v>42420</v>
      </c>
      <c r="H658" s="10">
        <v>260580</v>
      </c>
      <c r="I658" s="11">
        <v>252500</v>
      </c>
      <c r="J658" s="12">
        <v>41649</v>
      </c>
    </row>
    <row r="659" spans="1:10" ht="12.75" x14ac:dyDescent="0.2">
      <c r="A659" s="7" t="s">
        <v>47</v>
      </c>
      <c r="B659" s="7" t="s">
        <v>158</v>
      </c>
      <c r="C659" s="8">
        <v>1281</v>
      </c>
      <c r="D659" s="9">
        <v>250</v>
      </c>
      <c r="E659" s="8">
        <v>350</v>
      </c>
      <c r="F659" s="10">
        <v>448350</v>
      </c>
      <c r="G659" s="10">
        <v>62769</v>
      </c>
      <c r="H659" s="10">
        <v>385581</v>
      </c>
      <c r="I659" s="11">
        <v>333060</v>
      </c>
      <c r="J659" s="12">
        <v>41286</v>
      </c>
    </row>
    <row r="660" spans="1:10" ht="12.75" x14ac:dyDescent="0.2">
      <c r="A660" s="7" t="s">
        <v>108</v>
      </c>
      <c r="B660" s="7" t="s">
        <v>158</v>
      </c>
      <c r="C660" s="8">
        <v>888</v>
      </c>
      <c r="D660" s="9">
        <v>260</v>
      </c>
      <c r="E660" s="8">
        <v>300</v>
      </c>
      <c r="F660" s="10">
        <v>266400</v>
      </c>
      <c r="G660" s="10">
        <v>37296</v>
      </c>
      <c r="H660" s="10">
        <v>229104</v>
      </c>
      <c r="I660" s="11">
        <v>222000</v>
      </c>
      <c r="J660" s="12">
        <v>41642</v>
      </c>
    </row>
    <row r="661" spans="1:10" ht="12.75" x14ac:dyDescent="0.2">
      <c r="A661" s="7" t="s">
        <v>159</v>
      </c>
      <c r="B661" s="7" t="s">
        <v>158</v>
      </c>
      <c r="C661" s="8">
        <v>2844</v>
      </c>
      <c r="D661" s="9">
        <v>260</v>
      </c>
      <c r="E661" s="8">
        <v>125</v>
      </c>
      <c r="F661" s="10">
        <v>355500</v>
      </c>
      <c r="G661" s="10">
        <v>49770</v>
      </c>
      <c r="H661" s="10">
        <v>305730</v>
      </c>
      <c r="I661" s="11">
        <v>341280</v>
      </c>
      <c r="J661" s="12">
        <v>41644</v>
      </c>
    </row>
    <row r="662" spans="1:10" ht="12.75" x14ac:dyDescent="0.2">
      <c r="A662" s="7" t="s">
        <v>157</v>
      </c>
      <c r="B662" s="7" t="s">
        <v>158</v>
      </c>
      <c r="C662" s="8">
        <v>2475</v>
      </c>
      <c r="D662" s="9">
        <v>260</v>
      </c>
      <c r="E662" s="8">
        <v>12</v>
      </c>
      <c r="F662" s="10">
        <v>29700</v>
      </c>
      <c r="G662" s="10">
        <v>4158</v>
      </c>
      <c r="H662" s="10">
        <v>25542</v>
      </c>
      <c r="I662" s="11">
        <v>7425</v>
      </c>
      <c r="J662" s="12">
        <v>41647</v>
      </c>
    </row>
    <row r="663" spans="1:10" ht="12.75" x14ac:dyDescent="0.2">
      <c r="A663" s="7" t="s">
        <v>156</v>
      </c>
      <c r="B663" s="7" t="s">
        <v>158</v>
      </c>
      <c r="C663" s="8">
        <v>1743</v>
      </c>
      <c r="D663" s="9">
        <v>260</v>
      </c>
      <c r="E663" s="8">
        <v>15</v>
      </c>
      <c r="F663" s="10">
        <v>26145</v>
      </c>
      <c r="G663" s="10">
        <v>3660.3</v>
      </c>
      <c r="H663" s="10">
        <v>22484.7</v>
      </c>
      <c r="I663" s="11">
        <v>17430</v>
      </c>
      <c r="J663" s="12">
        <v>41284</v>
      </c>
    </row>
    <row r="664" spans="1:10" ht="12.75" x14ac:dyDescent="0.2">
      <c r="A664" s="7" t="s">
        <v>51</v>
      </c>
      <c r="B664" s="7" t="s">
        <v>158</v>
      </c>
      <c r="C664" s="8">
        <v>2914</v>
      </c>
      <c r="D664" s="9">
        <v>260</v>
      </c>
      <c r="E664" s="8">
        <v>12</v>
      </c>
      <c r="F664" s="10">
        <v>34968</v>
      </c>
      <c r="G664" s="10">
        <v>4895.5200000000004</v>
      </c>
      <c r="H664" s="10">
        <v>30072.48</v>
      </c>
      <c r="I664" s="11">
        <v>8742</v>
      </c>
      <c r="J664" s="12">
        <v>41649</v>
      </c>
    </row>
    <row r="665" spans="1:10" ht="12.75" x14ac:dyDescent="0.2">
      <c r="A665" s="7" t="s">
        <v>50</v>
      </c>
      <c r="B665" s="7" t="s">
        <v>158</v>
      </c>
      <c r="C665" s="8">
        <v>1731</v>
      </c>
      <c r="D665" s="9">
        <v>260</v>
      </c>
      <c r="E665" s="8">
        <v>7</v>
      </c>
      <c r="F665" s="10">
        <v>12117</v>
      </c>
      <c r="G665" s="10">
        <v>1696.38</v>
      </c>
      <c r="H665" s="10">
        <v>10420.620000000001</v>
      </c>
      <c r="I665" s="11">
        <v>8655</v>
      </c>
      <c r="J665" s="12">
        <v>41649</v>
      </c>
    </row>
    <row r="666" spans="1:10" ht="12.75" x14ac:dyDescent="0.2">
      <c r="A666" s="7" t="s">
        <v>121</v>
      </c>
      <c r="B666" s="7" t="s">
        <v>158</v>
      </c>
      <c r="C666" s="8">
        <v>1727</v>
      </c>
      <c r="D666" s="9">
        <v>260</v>
      </c>
      <c r="E666" s="8">
        <v>7</v>
      </c>
      <c r="F666" s="10">
        <v>12089</v>
      </c>
      <c r="G666" s="10">
        <v>1692.46</v>
      </c>
      <c r="H666" s="10">
        <v>10396.540000000001</v>
      </c>
      <c r="I666" s="11">
        <v>8635</v>
      </c>
      <c r="J666" s="12">
        <v>41284</v>
      </c>
    </row>
    <row r="667" spans="1:10" ht="12.75" x14ac:dyDescent="0.2">
      <c r="A667" s="7" t="s">
        <v>163</v>
      </c>
      <c r="B667" s="7" t="s">
        <v>158</v>
      </c>
      <c r="C667" s="8">
        <v>1870</v>
      </c>
      <c r="D667" s="9">
        <v>260</v>
      </c>
      <c r="E667" s="8">
        <v>15</v>
      </c>
      <c r="F667" s="10">
        <v>28050</v>
      </c>
      <c r="G667" s="10">
        <v>3927</v>
      </c>
      <c r="H667" s="10">
        <v>24123</v>
      </c>
      <c r="I667" s="11">
        <v>18700</v>
      </c>
      <c r="J667" s="12">
        <v>41285</v>
      </c>
    </row>
    <row r="668" spans="1:10" ht="12.75" x14ac:dyDescent="0.2">
      <c r="A668" s="7" t="s">
        <v>109</v>
      </c>
      <c r="B668" s="7" t="s">
        <v>158</v>
      </c>
      <c r="C668" s="8">
        <v>1174</v>
      </c>
      <c r="D668" s="9">
        <v>3</v>
      </c>
      <c r="E668" s="8">
        <v>125</v>
      </c>
      <c r="F668" s="10">
        <v>146750</v>
      </c>
      <c r="G668" s="10">
        <v>22012.5</v>
      </c>
      <c r="H668" s="10">
        <v>124737.5</v>
      </c>
      <c r="I668" s="11">
        <v>140880</v>
      </c>
      <c r="J668" s="12">
        <v>41647</v>
      </c>
    </row>
    <row r="669" spans="1:10" ht="12.75" x14ac:dyDescent="0.2">
      <c r="A669" s="7" t="s">
        <v>135</v>
      </c>
      <c r="B669" s="7" t="s">
        <v>158</v>
      </c>
      <c r="C669" s="8">
        <v>2767</v>
      </c>
      <c r="D669" s="9">
        <v>3</v>
      </c>
      <c r="E669" s="8">
        <v>125</v>
      </c>
      <c r="F669" s="10">
        <v>345875</v>
      </c>
      <c r="G669" s="10">
        <v>51881.25</v>
      </c>
      <c r="H669" s="10">
        <v>293993.75</v>
      </c>
      <c r="I669" s="11">
        <v>332040</v>
      </c>
      <c r="J669" s="12">
        <v>41647</v>
      </c>
    </row>
    <row r="670" spans="1:10" ht="12.75" x14ac:dyDescent="0.2">
      <c r="A670" s="7" t="s">
        <v>135</v>
      </c>
      <c r="B670" s="7" t="s">
        <v>158</v>
      </c>
      <c r="C670" s="8">
        <v>1085</v>
      </c>
      <c r="D670" s="9">
        <v>3</v>
      </c>
      <c r="E670" s="8">
        <v>125</v>
      </c>
      <c r="F670" s="10">
        <v>135625</v>
      </c>
      <c r="G670" s="10">
        <v>20343.75</v>
      </c>
      <c r="H670" s="10">
        <v>115281.25</v>
      </c>
      <c r="I670" s="11">
        <v>130200</v>
      </c>
      <c r="J670" s="12">
        <v>41649</v>
      </c>
    </row>
    <row r="671" spans="1:10" ht="12.75" x14ac:dyDescent="0.2">
      <c r="A671" s="7" t="s">
        <v>23</v>
      </c>
      <c r="B671" s="7" t="s">
        <v>158</v>
      </c>
      <c r="C671" s="8">
        <v>546</v>
      </c>
      <c r="D671" s="9">
        <v>5</v>
      </c>
      <c r="E671" s="8">
        <v>300</v>
      </c>
      <c r="F671" s="10">
        <v>163800</v>
      </c>
      <c r="G671" s="10">
        <v>24570</v>
      </c>
      <c r="H671" s="10">
        <v>139230</v>
      </c>
      <c r="I671" s="11">
        <v>136500</v>
      </c>
      <c r="J671" s="12">
        <v>41649</v>
      </c>
    </row>
    <row r="672" spans="1:10" ht="12.75" x14ac:dyDescent="0.2">
      <c r="A672" s="7" t="s">
        <v>29</v>
      </c>
      <c r="B672" s="7" t="s">
        <v>158</v>
      </c>
      <c r="C672" s="8">
        <v>1158</v>
      </c>
      <c r="D672" s="9">
        <v>10</v>
      </c>
      <c r="E672" s="8">
        <v>20</v>
      </c>
      <c r="F672" s="10">
        <v>23160</v>
      </c>
      <c r="G672" s="10">
        <v>3474</v>
      </c>
      <c r="H672" s="10">
        <v>19686</v>
      </c>
      <c r="I672" s="11">
        <v>11580</v>
      </c>
      <c r="J672" s="12">
        <v>41642</v>
      </c>
    </row>
    <row r="673" spans="1:10" ht="12.75" x14ac:dyDescent="0.2">
      <c r="A673" s="7" t="s">
        <v>36</v>
      </c>
      <c r="B673" s="7" t="s">
        <v>158</v>
      </c>
      <c r="C673" s="8">
        <v>1614</v>
      </c>
      <c r="D673" s="9">
        <v>10</v>
      </c>
      <c r="E673" s="8">
        <v>15</v>
      </c>
      <c r="F673" s="10">
        <v>24210</v>
      </c>
      <c r="G673" s="10">
        <v>3631.5</v>
      </c>
      <c r="H673" s="10">
        <v>20578.5</v>
      </c>
      <c r="I673" s="11">
        <v>16140</v>
      </c>
      <c r="J673" s="12">
        <v>41643</v>
      </c>
    </row>
    <row r="674" spans="1:10" ht="12.75" x14ac:dyDescent="0.2">
      <c r="A674" s="7" t="s">
        <v>31</v>
      </c>
      <c r="B674" s="7" t="s">
        <v>158</v>
      </c>
      <c r="C674" s="8">
        <v>2535</v>
      </c>
      <c r="D674" s="9">
        <v>10</v>
      </c>
      <c r="E674" s="8">
        <v>7</v>
      </c>
      <c r="F674" s="10">
        <v>17745</v>
      </c>
      <c r="G674" s="10">
        <v>2661.75</v>
      </c>
      <c r="H674" s="10">
        <v>15083.25</v>
      </c>
      <c r="I674" s="11">
        <v>12675</v>
      </c>
      <c r="J674" s="12">
        <v>41643</v>
      </c>
    </row>
    <row r="675" spans="1:10" ht="12.75" x14ac:dyDescent="0.2">
      <c r="A675" s="7" t="s">
        <v>31</v>
      </c>
      <c r="B675" s="7" t="s">
        <v>158</v>
      </c>
      <c r="C675" s="8">
        <v>2851</v>
      </c>
      <c r="D675" s="9">
        <v>10</v>
      </c>
      <c r="E675" s="8">
        <v>350</v>
      </c>
      <c r="F675" s="10">
        <v>997850</v>
      </c>
      <c r="G675" s="10">
        <v>149677.5</v>
      </c>
      <c r="H675" s="10">
        <v>848172.5</v>
      </c>
      <c r="I675" s="11">
        <v>741260</v>
      </c>
      <c r="J675" s="12">
        <v>41644</v>
      </c>
    </row>
    <row r="676" spans="1:10" ht="12.75" x14ac:dyDescent="0.2">
      <c r="A676" s="7" t="s">
        <v>36</v>
      </c>
      <c r="B676" s="7" t="s">
        <v>158</v>
      </c>
      <c r="C676" s="8">
        <v>2559</v>
      </c>
      <c r="D676" s="9">
        <v>10</v>
      </c>
      <c r="E676" s="8">
        <v>15</v>
      </c>
      <c r="F676" s="10">
        <v>38385</v>
      </c>
      <c r="G676" s="10">
        <v>5757.75</v>
      </c>
      <c r="H676" s="10">
        <v>32627.25</v>
      </c>
      <c r="I676" s="11">
        <v>25590</v>
      </c>
      <c r="J676" s="12">
        <v>41647</v>
      </c>
    </row>
    <row r="677" spans="1:10" ht="12.75" x14ac:dyDescent="0.2">
      <c r="A677" s="7" t="s">
        <v>34</v>
      </c>
      <c r="B677" s="7" t="s">
        <v>158</v>
      </c>
      <c r="C677" s="8">
        <v>267</v>
      </c>
      <c r="D677" s="9">
        <v>10</v>
      </c>
      <c r="E677" s="8">
        <v>20</v>
      </c>
      <c r="F677" s="10">
        <v>5340</v>
      </c>
      <c r="G677" s="10">
        <v>801</v>
      </c>
      <c r="H677" s="10">
        <v>4539</v>
      </c>
      <c r="I677" s="11">
        <v>2670</v>
      </c>
      <c r="J677" s="12">
        <v>41284</v>
      </c>
    </row>
    <row r="678" spans="1:10" ht="12.75" x14ac:dyDescent="0.2">
      <c r="A678" s="7" t="s">
        <v>93</v>
      </c>
      <c r="B678" s="7" t="s">
        <v>158</v>
      </c>
      <c r="C678" s="8">
        <v>1085</v>
      </c>
      <c r="D678" s="9">
        <v>10</v>
      </c>
      <c r="E678" s="8">
        <v>125</v>
      </c>
      <c r="F678" s="10">
        <v>135625</v>
      </c>
      <c r="G678" s="10">
        <v>20343.75</v>
      </c>
      <c r="H678" s="10">
        <v>115281.25</v>
      </c>
      <c r="I678" s="11">
        <v>130200</v>
      </c>
      <c r="J678" s="12">
        <v>41649</v>
      </c>
    </row>
    <row r="679" spans="1:10" ht="12.75" x14ac:dyDescent="0.2">
      <c r="A679" s="7" t="s">
        <v>75</v>
      </c>
      <c r="B679" s="7" t="s">
        <v>158</v>
      </c>
      <c r="C679" s="8">
        <v>1175</v>
      </c>
      <c r="D679" s="9">
        <v>10</v>
      </c>
      <c r="E679" s="8">
        <v>15</v>
      </c>
      <c r="F679" s="10">
        <v>17625</v>
      </c>
      <c r="G679" s="10">
        <v>2643.75</v>
      </c>
      <c r="H679" s="10">
        <v>14981.25</v>
      </c>
      <c r="I679" s="11">
        <v>11750</v>
      </c>
      <c r="J679" s="12">
        <v>41649</v>
      </c>
    </row>
    <row r="680" spans="1:10" ht="12.75" x14ac:dyDescent="0.2">
      <c r="A680" s="7" t="s">
        <v>34</v>
      </c>
      <c r="B680" s="7" t="s">
        <v>158</v>
      </c>
      <c r="C680" s="8">
        <v>2007</v>
      </c>
      <c r="D680" s="9">
        <v>10</v>
      </c>
      <c r="E680" s="8">
        <v>350</v>
      </c>
      <c r="F680" s="10">
        <v>702450</v>
      </c>
      <c r="G680" s="10">
        <v>105367.5</v>
      </c>
      <c r="H680" s="10">
        <v>597082.5</v>
      </c>
      <c r="I680" s="11">
        <v>521820</v>
      </c>
      <c r="J680" s="12">
        <v>41285</v>
      </c>
    </row>
    <row r="681" spans="1:10" ht="12.75" x14ac:dyDescent="0.2">
      <c r="A681" s="7" t="s">
        <v>31</v>
      </c>
      <c r="B681" s="7" t="s">
        <v>158</v>
      </c>
      <c r="C681" s="8">
        <v>2151</v>
      </c>
      <c r="D681" s="9">
        <v>10</v>
      </c>
      <c r="E681" s="8">
        <v>350</v>
      </c>
      <c r="F681" s="10">
        <v>752850</v>
      </c>
      <c r="G681" s="10">
        <v>112927.5</v>
      </c>
      <c r="H681" s="10">
        <v>639922.5</v>
      </c>
      <c r="I681" s="11">
        <v>559260</v>
      </c>
      <c r="J681" s="12">
        <v>41285</v>
      </c>
    </row>
    <row r="682" spans="1:10" ht="12.75" x14ac:dyDescent="0.2">
      <c r="A682" s="7" t="s">
        <v>35</v>
      </c>
      <c r="B682" s="7" t="s">
        <v>158</v>
      </c>
      <c r="C682" s="8">
        <v>914</v>
      </c>
      <c r="D682" s="9">
        <v>10</v>
      </c>
      <c r="E682" s="8">
        <v>12</v>
      </c>
      <c r="F682" s="10">
        <v>10968</v>
      </c>
      <c r="G682" s="10">
        <v>1645.2</v>
      </c>
      <c r="H682" s="10">
        <v>9322.7999999999993</v>
      </c>
      <c r="I682" s="11">
        <v>2742</v>
      </c>
      <c r="J682" s="12">
        <v>41651</v>
      </c>
    </row>
    <row r="683" spans="1:10" ht="12.75" x14ac:dyDescent="0.2">
      <c r="A683" s="7" t="s">
        <v>56</v>
      </c>
      <c r="B683" s="7" t="s">
        <v>158</v>
      </c>
      <c r="C683" s="8">
        <v>293</v>
      </c>
      <c r="D683" s="9">
        <v>10</v>
      </c>
      <c r="E683" s="8">
        <v>20</v>
      </c>
      <c r="F683" s="10">
        <v>5860</v>
      </c>
      <c r="G683" s="10">
        <v>879</v>
      </c>
      <c r="H683" s="10">
        <v>4981</v>
      </c>
      <c r="I683" s="11">
        <v>2930</v>
      </c>
      <c r="J683" s="12">
        <v>41651</v>
      </c>
    </row>
    <row r="684" spans="1:10" ht="12.75" x14ac:dyDescent="0.2">
      <c r="A684" s="7" t="s">
        <v>102</v>
      </c>
      <c r="B684" s="7" t="s">
        <v>158</v>
      </c>
      <c r="C684" s="8">
        <v>500</v>
      </c>
      <c r="D684" s="9">
        <v>120</v>
      </c>
      <c r="E684" s="8">
        <v>12</v>
      </c>
      <c r="F684" s="10">
        <v>6000</v>
      </c>
      <c r="G684" s="10">
        <v>900</v>
      </c>
      <c r="H684" s="10">
        <v>5100</v>
      </c>
      <c r="I684" s="11">
        <v>1500</v>
      </c>
      <c r="J684" s="12">
        <v>41642</v>
      </c>
    </row>
    <row r="685" spans="1:10" ht="12.75" x14ac:dyDescent="0.2">
      <c r="A685" s="7" t="s">
        <v>164</v>
      </c>
      <c r="B685" s="7" t="s">
        <v>158</v>
      </c>
      <c r="C685" s="8">
        <v>2826</v>
      </c>
      <c r="D685" s="9">
        <v>120</v>
      </c>
      <c r="E685" s="8">
        <v>15</v>
      </c>
      <c r="F685" s="10">
        <v>42390</v>
      </c>
      <c r="G685" s="10">
        <v>6358.5</v>
      </c>
      <c r="H685" s="10">
        <v>36031.5</v>
      </c>
      <c r="I685" s="11">
        <v>28260</v>
      </c>
      <c r="J685" s="12">
        <v>41644</v>
      </c>
    </row>
    <row r="686" spans="1:10" ht="12.75" x14ac:dyDescent="0.2">
      <c r="A686" s="7" t="s">
        <v>38</v>
      </c>
      <c r="B686" s="7" t="s">
        <v>158</v>
      </c>
      <c r="C686" s="8">
        <v>663</v>
      </c>
      <c r="D686" s="9">
        <v>120</v>
      </c>
      <c r="E686" s="8">
        <v>125</v>
      </c>
      <c r="F686" s="10">
        <v>82875</v>
      </c>
      <c r="G686" s="10">
        <v>12431.25</v>
      </c>
      <c r="H686" s="10">
        <v>70443.75</v>
      </c>
      <c r="I686" s="11">
        <v>79560</v>
      </c>
      <c r="J686" s="12">
        <v>41648</v>
      </c>
    </row>
    <row r="687" spans="1:10" ht="12.75" x14ac:dyDescent="0.2">
      <c r="A687" s="7" t="s">
        <v>144</v>
      </c>
      <c r="B687" s="7" t="s">
        <v>158</v>
      </c>
      <c r="C687" s="8">
        <v>2574</v>
      </c>
      <c r="D687" s="9">
        <v>120</v>
      </c>
      <c r="E687" s="8">
        <v>300</v>
      </c>
      <c r="F687" s="10">
        <v>772200</v>
      </c>
      <c r="G687" s="10">
        <v>115830</v>
      </c>
      <c r="H687" s="10">
        <v>656370</v>
      </c>
      <c r="I687" s="11">
        <v>643500</v>
      </c>
      <c r="J687" s="12">
        <v>41285</v>
      </c>
    </row>
    <row r="688" spans="1:10" ht="12.75" x14ac:dyDescent="0.2">
      <c r="A688" s="7" t="s">
        <v>41</v>
      </c>
      <c r="B688" s="7" t="s">
        <v>158</v>
      </c>
      <c r="C688" s="8">
        <v>2438</v>
      </c>
      <c r="D688" s="9">
        <v>120</v>
      </c>
      <c r="E688" s="8">
        <v>125</v>
      </c>
      <c r="F688" s="10">
        <v>304750</v>
      </c>
      <c r="G688" s="10">
        <v>45712.5</v>
      </c>
      <c r="H688" s="10">
        <v>259037.5</v>
      </c>
      <c r="I688" s="11">
        <v>292560</v>
      </c>
      <c r="J688" s="12">
        <v>41286</v>
      </c>
    </row>
    <row r="689" spans="1:10" ht="12.75" x14ac:dyDescent="0.2">
      <c r="A689" s="7" t="s">
        <v>118</v>
      </c>
      <c r="B689" s="7" t="s">
        <v>158</v>
      </c>
      <c r="C689" s="8">
        <v>914</v>
      </c>
      <c r="D689" s="9">
        <v>120</v>
      </c>
      <c r="E689" s="8">
        <v>12</v>
      </c>
      <c r="F689" s="10">
        <v>10968</v>
      </c>
      <c r="G689" s="10">
        <v>1645.2</v>
      </c>
      <c r="H689" s="10">
        <v>9322.7999999999993</v>
      </c>
      <c r="I689" s="11">
        <v>2742</v>
      </c>
      <c r="J689" s="12">
        <v>41651</v>
      </c>
    </row>
    <row r="690" spans="1:10" ht="12.75" x14ac:dyDescent="0.2">
      <c r="A690" s="7" t="s">
        <v>49</v>
      </c>
      <c r="B690" s="7" t="s">
        <v>158</v>
      </c>
      <c r="C690" s="8">
        <v>865.5</v>
      </c>
      <c r="D690" s="9">
        <v>250</v>
      </c>
      <c r="E690" s="8">
        <v>20</v>
      </c>
      <c r="F690" s="10">
        <v>17310</v>
      </c>
      <c r="G690" s="10">
        <v>2596.5</v>
      </c>
      <c r="H690" s="10">
        <v>14713.5</v>
      </c>
      <c r="I690" s="11">
        <v>8655</v>
      </c>
      <c r="J690" s="12">
        <v>41646</v>
      </c>
    </row>
    <row r="691" spans="1:10" ht="12.75" x14ac:dyDescent="0.2">
      <c r="A691" s="7" t="s">
        <v>46</v>
      </c>
      <c r="B691" s="7" t="s">
        <v>158</v>
      </c>
      <c r="C691" s="8">
        <v>492</v>
      </c>
      <c r="D691" s="9">
        <v>250</v>
      </c>
      <c r="E691" s="8">
        <v>15</v>
      </c>
      <c r="F691" s="10">
        <v>7380</v>
      </c>
      <c r="G691" s="10">
        <v>1107</v>
      </c>
      <c r="H691" s="10">
        <v>6273</v>
      </c>
      <c r="I691" s="11">
        <v>4920</v>
      </c>
      <c r="J691" s="12">
        <v>41646</v>
      </c>
    </row>
    <row r="692" spans="1:10" ht="12.75" x14ac:dyDescent="0.2">
      <c r="A692" s="7" t="s">
        <v>105</v>
      </c>
      <c r="B692" s="7" t="s">
        <v>158</v>
      </c>
      <c r="C692" s="8">
        <v>267</v>
      </c>
      <c r="D692" s="9">
        <v>250</v>
      </c>
      <c r="E692" s="8">
        <v>20</v>
      </c>
      <c r="F692" s="10">
        <v>5340</v>
      </c>
      <c r="G692" s="10">
        <v>801</v>
      </c>
      <c r="H692" s="10">
        <v>4539</v>
      </c>
      <c r="I692" s="11">
        <v>2670</v>
      </c>
      <c r="J692" s="12">
        <v>41284</v>
      </c>
    </row>
    <row r="693" spans="1:10" ht="12.75" x14ac:dyDescent="0.2">
      <c r="A693" s="7" t="s">
        <v>46</v>
      </c>
      <c r="B693" s="7" t="s">
        <v>158</v>
      </c>
      <c r="C693" s="8">
        <v>1175</v>
      </c>
      <c r="D693" s="9">
        <v>250</v>
      </c>
      <c r="E693" s="8">
        <v>15</v>
      </c>
      <c r="F693" s="10">
        <v>17625</v>
      </c>
      <c r="G693" s="10">
        <v>2643.75</v>
      </c>
      <c r="H693" s="10">
        <v>14981.25</v>
      </c>
      <c r="I693" s="11">
        <v>11750</v>
      </c>
      <c r="J693" s="12">
        <v>41649</v>
      </c>
    </row>
    <row r="694" spans="1:10" ht="12.75" x14ac:dyDescent="0.2">
      <c r="A694" s="7" t="s">
        <v>104</v>
      </c>
      <c r="B694" s="7" t="s">
        <v>158</v>
      </c>
      <c r="C694" s="8">
        <v>2954</v>
      </c>
      <c r="D694" s="9">
        <v>250</v>
      </c>
      <c r="E694" s="8">
        <v>125</v>
      </c>
      <c r="F694" s="10">
        <v>369250</v>
      </c>
      <c r="G694" s="10">
        <v>55387.5</v>
      </c>
      <c r="H694" s="10">
        <v>313862.5</v>
      </c>
      <c r="I694" s="11">
        <v>354480</v>
      </c>
      <c r="J694" s="12">
        <v>41285</v>
      </c>
    </row>
    <row r="695" spans="1:10" ht="12.75" x14ac:dyDescent="0.2">
      <c r="A695" s="7" t="s">
        <v>115</v>
      </c>
      <c r="B695" s="7" t="s">
        <v>158</v>
      </c>
      <c r="C695" s="8">
        <v>552</v>
      </c>
      <c r="D695" s="9">
        <v>250</v>
      </c>
      <c r="E695" s="8">
        <v>125</v>
      </c>
      <c r="F695" s="10">
        <v>69000</v>
      </c>
      <c r="G695" s="10">
        <v>10350</v>
      </c>
      <c r="H695" s="10">
        <v>58650</v>
      </c>
      <c r="I695" s="11">
        <v>66240</v>
      </c>
      <c r="J695" s="12">
        <v>41650</v>
      </c>
    </row>
    <row r="696" spans="1:10" ht="12.75" x14ac:dyDescent="0.2">
      <c r="A696" s="7" t="s">
        <v>47</v>
      </c>
      <c r="B696" s="7" t="s">
        <v>158</v>
      </c>
      <c r="C696" s="8">
        <v>293</v>
      </c>
      <c r="D696" s="9">
        <v>250</v>
      </c>
      <c r="E696" s="8">
        <v>20</v>
      </c>
      <c r="F696" s="10">
        <v>5860</v>
      </c>
      <c r="G696" s="10">
        <v>879</v>
      </c>
      <c r="H696" s="10">
        <v>4981</v>
      </c>
      <c r="I696" s="11">
        <v>2930</v>
      </c>
      <c r="J696" s="12">
        <v>41651</v>
      </c>
    </row>
    <row r="697" spans="1:10" ht="12.75" x14ac:dyDescent="0.2">
      <c r="A697" s="7" t="s">
        <v>162</v>
      </c>
      <c r="B697" s="7" t="s">
        <v>158</v>
      </c>
      <c r="C697" s="8">
        <v>2475</v>
      </c>
      <c r="D697" s="9">
        <v>260</v>
      </c>
      <c r="E697" s="8">
        <v>300</v>
      </c>
      <c r="F697" s="10">
        <v>742500</v>
      </c>
      <c r="G697" s="10">
        <v>111375</v>
      </c>
      <c r="H697" s="10">
        <v>631125</v>
      </c>
      <c r="I697" s="13">
        <v>618750</v>
      </c>
      <c r="J697" s="12">
        <v>41642</v>
      </c>
    </row>
    <row r="698" spans="1:10" ht="12.75" x14ac:dyDescent="0.2">
      <c r="A698" s="7" t="s">
        <v>107</v>
      </c>
      <c r="B698" s="7" t="s">
        <v>158</v>
      </c>
      <c r="C698" s="8">
        <v>546</v>
      </c>
      <c r="D698" s="9">
        <v>260</v>
      </c>
      <c r="E698" s="8">
        <v>300</v>
      </c>
      <c r="F698" s="10">
        <v>163800</v>
      </c>
      <c r="G698" s="10">
        <v>24570</v>
      </c>
      <c r="H698" s="10">
        <v>139230</v>
      </c>
      <c r="I698" s="11">
        <v>136500</v>
      </c>
      <c r="J698" s="12">
        <v>41649</v>
      </c>
    </row>
    <row r="699" spans="1:10" ht="12.75" x14ac:dyDescent="0.2">
      <c r="A699" s="7" t="s">
        <v>128</v>
      </c>
      <c r="B699" s="7" t="s">
        <v>158</v>
      </c>
      <c r="C699" s="8">
        <v>1368</v>
      </c>
      <c r="D699" s="9">
        <v>5</v>
      </c>
      <c r="E699" s="8">
        <v>7</v>
      </c>
      <c r="F699" s="10">
        <v>9576</v>
      </c>
      <c r="G699" s="10">
        <v>1436.4</v>
      </c>
      <c r="H699" s="10">
        <v>8139.6</v>
      </c>
      <c r="I699" s="11">
        <v>6840</v>
      </c>
      <c r="J699" s="12">
        <v>41641</v>
      </c>
    </row>
    <row r="700" spans="1:10" ht="12.75" x14ac:dyDescent="0.2">
      <c r="A700" s="7" t="s">
        <v>26</v>
      </c>
      <c r="B700" s="7" t="s">
        <v>158</v>
      </c>
      <c r="C700" s="8">
        <v>723</v>
      </c>
      <c r="D700" s="9">
        <v>10</v>
      </c>
      <c r="E700" s="8">
        <v>7</v>
      </c>
      <c r="F700" s="10">
        <v>5061</v>
      </c>
      <c r="G700" s="10">
        <v>759.15</v>
      </c>
      <c r="H700" s="10">
        <v>4301.8500000000004</v>
      </c>
      <c r="I700" s="11">
        <v>3615</v>
      </c>
      <c r="J700" s="12">
        <v>41643</v>
      </c>
    </row>
    <row r="701" spans="1:10" ht="12.75" x14ac:dyDescent="0.2">
      <c r="A701" s="7" t="s">
        <v>155</v>
      </c>
      <c r="B701" s="7" t="s">
        <v>158</v>
      </c>
      <c r="C701" s="8">
        <v>1806</v>
      </c>
      <c r="D701" s="9">
        <v>250</v>
      </c>
      <c r="E701" s="8">
        <v>12</v>
      </c>
      <c r="F701" s="10">
        <v>21672</v>
      </c>
      <c r="G701" s="10">
        <v>3250.8</v>
      </c>
      <c r="H701" s="10">
        <v>18421.2</v>
      </c>
      <c r="I701" s="11">
        <v>5418</v>
      </c>
      <c r="J701" s="12">
        <v>41644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7F711D12-53F6-402E-A352-7E36B8C7B04F}">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E7B14B8C-C196-4D27-BB14-3B816A612784}">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E267A7DC-54C4-4323-BD34-ECCA0245A069}">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Index</vt:lpstr>
      <vt:lpstr>Sales Analysis</vt:lpstr>
      <vt:lpstr>Profit Analysis</vt:lpstr>
      <vt:lpstr>Conclusions</vt:lpstr>
      <vt:lpstr>Pivot-Analysis</vt:lpstr>
      <vt:lpstr>Mini Project Data - Sales &amp; Pro</vt:lpstr>
      <vt:lpstr>Sheet2</vt:lpstr>
      <vt:lpstr>Sheet1</vt:lpstr>
      <vt:lpstr>Steps</vt:lpstr>
      <vt:lpstr>Market</vt:lpstr>
      <vt:lpstr>Clean V1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debasish deb</dc:creator>
  <cp:lastModifiedBy>Debasish Deb</cp:lastModifiedBy>
  <dcterms:created xsi:type="dcterms:W3CDTF">2022-01-25T16:34:14Z</dcterms:created>
  <dcterms:modified xsi:type="dcterms:W3CDTF">2022-02-26T21:45:46Z</dcterms:modified>
</cp:coreProperties>
</file>